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675" windowWidth="11355" windowHeight="8580" tabRatio="894" firstSheet="1" activeTab="8"/>
  </bookViews>
  <sheets>
    <sheet name="Sheet1" sheetId="1" state="hidden" r:id="rId1"/>
    <sheet name="COMPARATIVE" sheetId="2" r:id="rId2"/>
    <sheet name="SOR RATE" sheetId="3" r:id="rId3"/>
    <sheet name="D-1" sheetId="4" r:id="rId4"/>
    <sheet name="D-2" sheetId="5" r:id="rId5"/>
    <sheet name="D-3" sheetId="6" r:id="rId6"/>
    <sheet name="D-4" sheetId="7" r:id="rId7"/>
    <sheet name="D-5" sheetId="8" r:id="rId8"/>
    <sheet name="D-6 (1)" sheetId="9" r:id="rId9"/>
    <sheet name="D-6 (2)" sheetId="10" r:id="rId10"/>
    <sheet name="D-6 (3)" sheetId="11" r:id="rId11"/>
    <sheet name="D-6 (4)" sheetId="12" r:id="rId12"/>
    <sheet name="D-6 (B)" sheetId="13" r:id="rId13"/>
    <sheet name="D-7" sheetId="14" r:id="rId14"/>
    <sheet name="D-8" sheetId="15" r:id="rId15"/>
    <sheet name="D-9" sheetId="16" r:id="rId16"/>
    <sheet name="D-10" sheetId="17" r:id="rId17"/>
    <sheet name="D-11" sheetId="18" r:id="rId18"/>
    <sheet name="D-12" sheetId="19" r:id="rId19"/>
    <sheet name="D-13" sheetId="20" r:id="rId20"/>
    <sheet name="D-14" sheetId="21" r:id="rId21"/>
    <sheet name="E-1" sheetId="22" r:id="rId22"/>
    <sheet name="E-2" sheetId="23" r:id="rId23"/>
    <sheet name="E-3" sheetId="24" r:id="rId24"/>
    <sheet name="E-4" sheetId="25" r:id="rId25"/>
    <sheet name="E-5" sheetId="26" r:id="rId26"/>
    <sheet name="E-6" sheetId="27" r:id="rId27"/>
  </sheets>
  <externalReferences>
    <externalReference r:id="rId30"/>
  </externalReferences>
  <definedNames>
    <definedName name="_xlnm.Print_Area" localSheetId="7">'D-5'!$A$1:$K$42</definedName>
    <definedName name="_xlnm.Print_Area" localSheetId="2">'SOR RATE'!$A$1:$E$597</definedName>
    <definedName name="_xlnm.Print_Titles" localSheetId="1">'COMPARATIVE'!$4:$6</definedName>
    <definedName name="_xlnm.Print_Titles" localSheetId="3">'D-1'!$7:$9</definedName>
    <definedName name="_xlnm.Print_Titles" localSheetId="16">'D-10'!$6:$7</definedName>
    <definedName name="_xlnm.Print_Titles" localSheetId="18">'D-12'!$5:$6</definedName>
    <definedName name="_xlnm.Print_Titles" localSheetId="19">'D-13'!$7:$8</definedName>
    <definedName name="_xlnm.Print_Titles" localSheetId="4">'D-2'!$7:$9</definedName>
    <definedName name="_xlnm.Print_Titles" localSheetId="5">'D-3'!$7:$11</definedName>
    <definedName name="_xlnm.Print_Titles" localSheetId="6">'D-4'!$5:$7</definedName>
    <definedName name="_xlnm.Print_Titles" localSheetId="7">'D-5'!$6:$10</definedName>
    <definedName name="_xlnm.Print_Titles" localSheetId="8">'D-6 (1)'!$6:$9</definedName>
    <definedName name="_xlnm.Print_Titles" localSheetId="9">'D-6 (2)'!$7:$8</definedName>
    <definedName name="_xlnm.Print_Titles" localSheetId="10">'D-6 (3)'!$6:$8</definedName>
    <definedName name="_xlnm.Print_Titles" localSheetId="11">'D-6 (4)'!$5:$7</definedName>
    <definedName name="_xlnm.Print_Titles" localSheetId="13">'D-7'!$7:$8</definedName>
    <definedName name="_xlnm.Print_Titles" localSheetId="14">'D-8'!$7:$8</definedName>
    <definedName name="_xlnm.Print_Titles" localSheetId="15">'D-9'!$7:$8</definedName>
    <definedName name="_xlnm.Print_Titles" localSheetId="0">'Sheet1'!$3:$5</definedName>
  </definedNames>
  <calcPr fullCalcOnLoad="1"/>
</workbook>
</file>

<file path=xl/comments10.xml><?xml version="1.0" encoding="utf-8"?>
<comments xmlns="http://schemas.openxmlformats.org/spreadsheetml/2006/main">
  <authors>
    <author>89326879</author>
    <author>Author</author>
  </authors>
  <commentList>
    <comment ref="D23" authorId="0">
      <text>
        <r>
          <rPr>
            <b/>
            <sz val="9"/>
            <rFont val="Tahoma"/>
            <family val="2"/>
          </rPr>
          <t>89326879:</t>
        </r>
        <r>
          <rPr>
            <sz val="9"/>
            <rFont val="Tahoma"/>
            <family val="2"/>
          </rPr>
          <t xml:space="preserve">
Earlier unit was - No.</t>
        </r>
      </text>
    </comment>
    <comment ref="C33" authorId="1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NEW BIN CODE ALLOTED</t>
        </r>
      </text>
    </comment>
    <comment ref="D33" authorId="0">
      <text>
        <r>
          <rPr>
            <b/>
            <sz val="9"/>
            <rFont val="Tahoma"/>
            <family val="2"/>
          </rPr>
          <t>89326879:</t>
        </r>
        <r>
          <rPr>
            <sz val="9"/>
            <rFont val="Tahoma"/>
            <family val="2"/>
          </rPr>
          <t xml:space="preserve">
Earlier unit was - No.</t>
        </r>
      </text>
    </comment>
  </commentList>
</comments>
</file>

<file path=xl/comments11.xml><?xml version="1.0" encoding="utf-8"?>
<comments xmlns="http://schemas.openxmlformats.org/spreadsheetml/2006/main">
  <authors>
    <author>89326879</author>
    <author>Author</author>
  </authors>
  <commentList>
    <comment ref="D20" authorId="0">
      <text>
        <r>
          <rPr>
            <b/>
            <sz val="9"/>
            <rFont val="Tahoma"/>
            <family val="2"/>
          </rPr>
          <t>89326879:</t>
        </r>
        <r>
          <rPr>
            <sz val="9"/>
            <rFont val="Tahoma"/>
            <family val="2"/>
          </rPr>
          <t xml:space="preserve">
Earlier unit was - No.</t>
        </r>
      </text>
    </comment>
    <comment ref="C28" authorId="1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NEW BIN CODE ALLOTED</t>
        </r>
      </text>
    </comment>
  </commentList>
</comments>
</file>

<file path=xl/comments12.xml><?xml version="1.0" encoding="utf-8"?>
<comments xmlns="http://schemas.openxmlformats.org/spreadsheetml/2006/main">
  <authors>
    <author>89326879</author>
  </authors>
  <commentList>
    <comment ref="D18" authorId="0">
      <text>
        <r>
          <rPr>
            <b/>
            <sz val="9"/>
            <rFont val="Tahoma"/>
            <family val="2"/>
          </rPr>
          <t>89326879:</t>
        </r>
        <r>
          <rPr>
            <sz val="9"/>
            <rFont val="Tahoma"/>
            <family val="2"/>
          </rPr>
          <t xml:space="preserve">
Earlier unit was - No.</t>
        </r>
      </text>
    </comment>
  </commentList>
</comments>
</file>

<file path=xl/comments14.xml><?xml version="1.0" encoding="utf-8"?>
<comments xmlns="http://schemas.openxmlformats.org/spreadsheetml/2006/main">
  <authors>
    <author>89326879</author>
  </authors>
  <commentList>
    <comment ref="D15" authorId="0">
      <text>
        <r>
          <rPr>
            <b/>
            <sz val="9"/>
            <rFont val="Tahoma"/>
            <family val="2"/>
          </rPr>
          <t>89326879:</t>
        </r>
        <r>
          <rPr>
            <sz val="9"/>
            <rFont val="Tahoma"/>
            <family val="2"/>
          </rPr>
          <t xml:space="preserve">
Earlier unit was - No.</t>
        </r>
      </text>
    </comment>
    <comment ref="D19" authorId="0">
      <text>
        <r>
          <rPr>
            <b/>
            <sz val="9"/>
            <rFont val="Tahoma"/>
            <family val="0"/>
          </rPr>
          <t>89326879:</t>
        </r>
        <r>
          <rPr>
            <sz val="9"/>
            <rFont val="Tahoma"/>
            <family val="0"/>
          </rPr>
          <t xml:space="preserve">
Earlier unit was - No.</t>
        </r>
      </text>
    </comment>
  </commentList>
</comments>
</file>

<file path=xl/comments15.xml><?xml version="1.0" encoding="utf-8"?>
<comments xmlns="http://schemas.openxmlformats.org/spreadsheetml/2006/main">
  <authors>
    <author>89326879</author>
  </authors>
  <commentList>
    <comment ref="D15" authorId="0">
      <text>
        <r>
          <rPr>
            <b/>
            <sz val="9"/>
            <rFont val="Tahoma"/>
            <family val="2"/>
          </rPr>
          <t>89326879:</t>
        </r>
        <r>
          <rPr>
            <sz val="9"/>
            <rFont val="Tahoma"/>
            <family val="2"/>
          </rPr>
          <t xml:space="preserve">
Earlier unit was - No.</t>
        </r>
      </text>
    </comment>
    <comment ref="D19" authorId="0">
      <text>
        <r>
          <rPr>
            <b/>
            <sz val="9"/>
            <rFont val="Tahoma"/>
            <family val="0"/>
          </rPr>
          <t>89326879:</t>
        </r>
        <r>
          <rPr>
            <sz val="9"/>
            <rFont val="Tahoma"/>
            <family val="0"/>
          </rPr>
          <t xml:space="preserve">
Earlier unit was - No.</t>
        </r>
      </text>
    </comment>
  </commentList>
</comments>
</file>

<file path=xl/comments16.xml><?xml version="1.0" encoding="utf-8"?>
<comments xmlns="http://schemas.openxmlformats.org/spreadsheetml/2006/main">
  <authors>
    <author>89326879</author>
  </authors>
  <commentList>
    <comment ref="D15" authorId="0">
      <text>
        <r>
          <rPr>
            <b/>
            <sz val="9"/>
            <rFont val="Tahoma"/>
            <family val="2"/>
          </rPr>
          <t>89326879:</t>
        </r>
        <r>
          <rPr>
            <sz val="9"/>
            <rFont val="Tahoma"/>
            <family val="2"/>
          </rPr>
          <t xml:space="preserve">
Earlier unit was - No.</t>
        </r>
      </text>
    </comment>
    <comment ref="D19" authorId="0">
      <text>
        <r>
          <rPr>
            <b/>
            <sz val="9"/>
            <rFont val="Tahoma"/>
            <family val="0"/>
          </rPr>
          <t>89326879:</t>
        </r>
        <r>
          <rPr>
            <sz val="9"/>
            <rFont val="Tahoma"/>
            <family val="0"/>
          </rPr>
          <t xml:space="preserve">
Earlier unit was - No.</t>
        </r>
      </text>
    </comment>
  </commentList>
</comments>
</file>

<file path=xl/comments18.xml><?xml version="1.0" encoding="utf-8"?>
<comments xmlns="http://schemas.openxmlformats.org/spreadsheetml/2006/main">
  <authors>
    <author>89326879</author>
  </authors>
  <commentList>
    <comment ref="D23" authorId="0">
      <text>
        <r>
          <rPr>
            <b/>
            <sz val="9"/>
            <rFont val="Tahoma"/>
            <family val="2"/>
          </rPr>
          <t>89326879:</t>
        </r>
        <r>
          <rPr>
            <sz val="9"/>
            <rFont val="Tahoma"/>
            <family val="2"/>
          </rPr>
          <t xml:space="preserve">
Earlier unit was - No.</t>
        </r>
      </text>
    </comment>
  </commentList>
</comments>
</file>

<file path=xl/comments3.xml><?xml version="1.0" encoding="utf-8"?>
<comments xmlns="http://schemas.openxmlformats.org/spreadsheetml/2006/main">
  <authors>
    <author>89326879</author>
    <author>Author</author>
  </authors>
  <commentList>
    <comment ref="B517" authorId="0">
      <text>
        <r>
          <rPr>
            <b/>
            <sz val="9"/>
            <rFont val="Tahoma"/>
            <family val="2"/>
          </rPr>
          <t>89326879:</t>
        </r>
        <r>
          <rPr>
            <sz val="9"/>
            <rFont val="Tahoma"/>
            <family val="2"/>
          </rPr>
          <t xml:space="preserve">
Earlier named as--Grounding Sticks (Earthing Rods)</t>
        </r>
      </text>
    </comment>
    <comment ref="B326" authorId="0">
      <text>
        <r>
          <rPr>
            <b/>
            <sz val="9"/>
            <rFont val="Tahoma"/>
            <family val="2"/>
          </rPr>
          <t>89326879:</t>
        </r>
        <r>
          <rPr>
            <sz val="9"/>
            <rFont val="Tahoma"/>
            <family val="2"/>
          </rPr>
          <t xml:space="preserve">
Earlie name- 3 Ø 4 Wire 0.2S Non DLMS </t>
        </r>
      </text>
    </comment>
    <comment ref="B325" authorId="0">
      <text>
        <r>
          <rPr>
            <b/>
            <sz val="9"/>
            <rFont val="Tahoma"/>
            <family val="2"/>
          </rPr>
          <t>89326879:</t>
        </r>
        <r>
          <rPr>
            <sz val="9"/>
            <rFont val="Tahoma"/>
            <family val="2"/>
          </rPr>
          <t xml:space="preserve">
Earlier name- 3 Ø 3 Wire 0.2S Non DLMS </t>
        </r>
      </text>
    </comment>
    <comment ref="B321" authorId="0">
      <text>
        <r>
          <rPr>
            <b/>
            <sz val="9"/>
            <rFont val="Tahoma"/>
            <family val="2"/>
          </rPr>
          <t>89326879:</t>
        </r>
        <r>
          <rPr>
            <sz val="9"/>
            <rFont val="Tahoma"/>
            <family val="2"/>
          </rPr>
          <t xml:space="preserve">
Earlier name - 3 Ø 4 Wire 0.5S Non DLMS </t>
        </r>
      </text>
    </comment>
    <comment ref="B316" authorId="0">
      <text>
        <r>
          <rPr>
            <b/>
            <sz val="9"/>
            <rFont val="Tahoma"/>
            <family val="2"/>
          </rPr>
          <t>89326879:</t>
        </r>
        <r>
          <rPr>
            <sz val="9"/>
            <rFont val="Tahoma"/>
            <family val="2"/>
          </rPr>
          <t xml:space="preserve">
Earlier name- 3 Ø 4 Wire 0.2S accuracy class CT operated meter (for 132 kV)</t>
        </r>
      </text>
    </comment>
    <comment ref="B464" authorId="0">
      <text>
        <r>
          <rPr>
            <b/>
            <sz val="9"/>
            <rFont val="Tahoma"/>
            <family val="2"/>
          </rPr>
          <t>89326879:</t>
        </r>
        <r>
          <rPr>
            <sz val="9"/>
            <rFont val="Tahoma"/>
            <family val="2"/>
          </rPr>
          <t xml:space="preserve">
Earlier capacity was - 132 kV C.T. 150-75/1</t>
        </r>
      </text>
    </comment>
    <comment ref="B475" authorId="0">
      <text>
        <r>
          <rPr>
            <b/>
            <sz val="9"/>
            <rFont val="Tahoma"/>
            <family val="2"/>
          </rPr>
          <t>89326879:</t>
        </r>
        <r>
          <rPr>
            <sz val="9"/>
            <rFont val="Tahoma"/>
            <family val="2"/>
          </rPr>
          <t xml:space="preserve">
Earlier capacity was - 132 kV C.T. 100-50/1</t>
        </r>
      </text>
    </comment>
    <comment ref="B476" authorId="0">
      <text>
        <r>
          <rPr>
            <b/>
            <sz val="9"/>
            <rFont val="Tahoma"/>
            <family val="2"/>
          </rPr>
          <t>89326879:</t>
        </r>
        <r>
          <rPr>
            <sz val="9"/>
            <rFont val="Tahoma"/>
            <family val="2"/>
          </rPr>
          <t xml:space="preserve">
Earlier name was --132 kV C.T. 200-100/1</t>
        </r>
      </text>
    </comment>
    <comment ref="B463" authorId="0">
      <text>
        <r>
          <rPr>
            <b/>
            <sz val="9"/>
            <rFont val="Tahoma"/>
            <family val="2"/>
          </rPr>
          <t>89326879:</t>
        </r>
        <r>
          <rPr>
            <sz val="9"/>
            <rFont val="Tahoma"/>
            <family val="2"/>
          </rPr>
          <t xml:space="preserve">
Earlier capacity was - 132 kV C.T. 600-300/1</t>
        </r>
      </text>
    </comment>
    <comment ref="B477" authorId="0">
      <text>
        <r>
          <rPr>
            <b/>
            <sz val="9"/>
            <rFont val="Tahoma"/>
            <family val="2"/>
          </rPr>
          <t>89326879:</t>
        </r>
        <r>
          <rPr>
            <sz val="9"/>
            <rFont val="Tahoma"/>
            <family val="2"/>
          </rPr>
          <t xml:space="preserve">
Earlier capacity was -- 132 kV C.T. 300-150/1</t>
        </r>
      </text>
    </comment>
    <comment ref="B465" authorId="0">
      <text>
        <r>
          <rPr>
            <b/>
            <sz val="9"/>
            <rFont val="Tahoma"/>
            <family val="2"/>
          </rPr>
          <t>89326879:</t>
        </r>
        <r>
          <rPr>
            <sz val="9"/>
            <rFont val="Tahoma"/>
            <family val="2"/>
          </rPr>
          <t xml:space="preserve">
Earlier capacity was -- 220 kV C.T. 150-75/1</t>
        </r>
      </text>
    </comment>
    <comment ref="B466" authorId="0">
      <text>
        <r>
          <rPr>
            <b/>
            <sz val="9"/>
            <rFont val="Tahoma"/>
            <family val="2"/>
          </rPr>
          <t>89326879:</t>
        </r>
        <r>
          <rPr>
            <sz val="9"/>
            <rFont val="Tahoma"/>
            <family val="2"/>
          </rPr>
          <t xml:space="preserve">
Earlier capacity was -- 220 kV C.T. 300-150/1</t>
        </r>
      </text>
    </comment>
    <comment ref="B467" authorId="0">
      <text>
        <r>
          <rPr>
            <b/>
            <sz val="9"/>
            <rFont val="Tahoma"/>
            <family val="2"/>
          </rPr>
          <t>89326879:</t>
        </r>
        <r>
          <rPr>
            <sz val="9"/>
            <rFont val="Tahoma"/>
            <family val="2"/>
          </rPr>
          <t xml:space="preserve">
Earlier capacity was -- 220 kV C.T. 600-300/1</t>
        </r>
      </text>
    </comment>
    <comment ref="B461" authorId="0">
      <text>
        <r>
          <rPr>
            <b/>
            <sz val="9"/>
            <rFont val="Tahoma"/>
            <family val="2"/>
          </rPr>
          <t>89326879:</t>
        </r>
        <r>
          <rPr>
            <sz val="9"/>
            <rFont val="Tahoma"/>
            <family val="2"/>
          </rPr>
          <t xml:space="preserve">
Earlier capacity was -- 220 kV C.T. 800-400/1</t>
        </r>
      </text>
    </comment>
    <comment ref="B322" authorId="0">
      <text>
        <r>
          <rPr>
            <b/>
            <sz val="9"/>
            <rFont val="Tahoma"/>
            <family val="2"/>
          </rPr>
          <t>89326879:</t>
        </r>
        <r>
          <rPr>
            <sz val="9"/>
            <rFont val="Tahoma"/>
            <family val="2"/>
          </rPr>
          <t xml:space="preserve">
Earler name was - CT operated electronic static meters with AMR (Composite Unit)</t>
        </r>
      </text>
    </comment>
    <comment ref="B163" authorId="0">
      <text>
        <r>
          <rPr>
            <b/>
            <sz val="9"/>
            <rFont val="Tahoma"/>
            <family val="2"/>
          </rPr>
          <t>89326879:</t>
        </r>
        <r>
          <rPr>
            <sz val="9"/>
            <rFont val="Tahoma"/>
            <family val="2"/>
          </rPr>
          <t xml:space="preserve">
Earlier name - 600 mm</t>
        </r>
      </text>
    </comment>
    <comment ref="B164" authorId="0">
      <text>
        <r>
          <rPr>
            <b/>
            <sz val="9"/>
            <rFont val="Tahoma"/>
            <family val="2"/>
          </rPr>
          <t>89326879:</t>
        </r>
        <r>
          <rPr>
            <sz val="9"/>
            <rFont val="Tahoma"/>
            <family val="2"/>
          </rPr>
          <t xml:space="preserve">
Earlier name - 900 mm</t>
        </r>
      </text>
    </comment>
    <comment ref="C8" authorId="0">
      <text>
        <r>
          <rPr>
            <b/>
            <sz val="9"/>
            <rFont val="Tahoma"/>
            <family val="2"/>
          </rPr>
          <t>89326879:</t>
        </r>
        <r>
          <rPr>
            <sz val="9"/>
            <rFont val="Tahoma"/>
            <family val="2"/>
          </rPr>
          <t xml:space="preserve">
Earlier unit was - Per 1000</t>
        </r>
      </text>
    </comment>
    <comment ref="A609" authorId="1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NEW BIN CODE ALLOTED</t>
        </r>
      </text>
    </comment>
    <comment ref="B338" authorId="0">
      <text>
        <r>
          <rPr>
            <b/>
            <sz val="9"/>
            <rFont val="Tahoma"/>
            <family val="2"/>
          </rPr>
          <t>89326879:</t>
        </r>
        <r>
          <rPr>
            <sz val="9"/>
            <rFont val="Tahoma"/>
            <family val="2"/>
          </rPr>
          <t xml:space="preserve">
Earlier name - Transil oil Dielectric Breakdown testkit</t>
        </r>
      </text>
    </comment>
  </commentList>
</comments>
</file>

<file path=xl/comments4.xml><?xml version="1.0" encoding="utf-8"?>
<comments xmlns="http://schemas.openxmlformats.org/spreadsheetml/2006/main">
  <authors>
    <author>89326879</author>
  </authors>
  <commentList>
    <comment ref="D23" authorId="0">
      <text>
        <r>
          <rPr>
            <b/>
            <sz val="9"/>
            <rFont val="Tahoma"/>
            <family val="2"/>
          </rPr>
          <t>89326879:</t>
        </r>
        <r>
          <rPr>
            <sz val="9"/>
            <rFont val="Tahoma"/>
            <family val="2"/>
          </rPr>
          <t xml:space="preserve">
Earlier unit was - No.</t>
        </r>
      </text>
    </comment>
    <comment ref="D21" authorId="0">
      <text>
        <r>
          <rPr>
            <b/>
            <sz val="9"/>
            <rFont val="Tahoma"/>
            <family val="2"/>
          </rPr>
          <t>89326879:</t>
        </r>
        <r>
          <rPr>
            <sz val="9"/>
            <rFont val="Tahoma"/>
            <family val="2"/>
          </rPr>
          <t xml:space="preserve">
Earlier unit was - No.</t>
        </r>
      </text>
    </comment>
  </commentList>
</comments>
</file>

<file path=xl/comments5.xml><?xml version="1.0" encoding="utf-8"?>
<comments xmlns="http://schemas.openxmlformats.org/spreadsheetml/2006/main">
  <authors>
    <author>89326879</author>
  </authors>
  <commentList>
    <comment ref="D21" authorId="0">
      <text>
        <r>
          <rPr>
            <b/>
            <sz val="9"/>
            <rFont val="Tahoma"/>
            <family val="2"/>
          </rPr>
          <t>89326879:</t>
        </r>
        <r>
          <rPr>
            <sz val="9"/>
            <rFont val="Tahoma"/>
            <family val="2"/>
          </rPr>
          <t xml:space="preserve">
Earlier unit was - No.</t>
        </r>
      </text>
    </comment>
  </commentList>
</comments>
</file>

<file path=xl/comments6.xml><?xml version="1.0" encoding="utf-8"?>
<comments xmlns="http://schemas.openxmlformats.org/spreadsheetml/2006/main">
  <authors>
    <author>89326879</author>
  </authors>
  <commentList>
    <comment ref="B25" authorId="0">
      <text>
        <r>
          <rPr>
            <b/>
            <sz val="9"/>
            <rFont val="Tahoma"/>
            <family val="2"/>
          </rPr>
          <t>89326879:</t>
        </r>
        <r>
          <rPr>
            <sz val="9"/>
            <rFont val="Tahoma"/>
            <family val="2"/>
          </rPr>
          <t xml:space="preserve">
Earlier name was - Concreting of stay &amp; base pad for pole @ 0.2 Cmt/stay and @ 0.05 Cmt for base pad</t>
        </r>
      </text>
    </comment>
    <comment ref="D23" authorId="0">
      <text>
        <r>
          <rPr>
            <b/>
            <sz val="9"/>
            <rFont val="Tahoma"/>
            <family val="2"/>
          </rPr>
          <t>89326879:</t>
        </r>
        <r>
          <rPr>
            <sz val="9"/>
            <rFont val="Tahoma"/>
            <family val="2"/>
          </rPr>
          <t xml:space="preserve">
Earlier unit was - No.</t>
        </r>
      </text>
    </comment>
  </commentList>
</comments>
</file>

<file path=xl/comments7.xml><?xml version="1.0" encoding="utf-8"?>
<comments xmlns="http://schemas.openxmlformats.org/spreadsheetml/2006/main">
  <authors>
    <author>89326879</author>
  </authors>
  <commentList>
    <comment ref="D20" authorId="0">
      <text>
        <r>
          <rPr>
            <b/>
            <sz val="9"/>
            <rFont val="Tahoma"/>
            <family val="2"/>
          </rPr>
          <t>89326879:</t>
        </r>
        <r>
          <rPr>
            <sz val="9"/>
            <rFont val="Tahoma"/>
            <family val="2"/>
          </rPr>
          <t xml:space="preserve">
Earlier unit was - No.</t>
        </r>
      </text>
    </comment>
  </commentList>
</comments>
</file>

<file path=xl/comments8.xml><?xml version="1.0" encoding="utf-8"?>
<comments xmlns="http://schemas.openxmlformats.org/spreadsheetml/2006/main">
  <authors>
    <author>89326879</author>
  </authors>
  <commentList>
    <comment ref="D22" authorId="0">
      <text>
        <r>
          <rPr>
            <b/>
            <sz val="9"/>
            <rFont val="Tahoma"/>
            <family val="2"/>
          </rPr>
          <t>89326879:</t>
        </r>
        <r>
          <rPr>
            <sz val="9"/>
            <rFont val="Tahoma"/>
            <family val="2"/>
          </rPr>
          <t xml:space="preserve">
Earlier unit was - No.</t>
        </r>
      </text>
    </comment>
  </commentList>
</comments>
</file>

<file path=xl/comments9.xml><?xml version="1.0" encoding="utf-8"?>
<comments xmlns="http://schemas.openxmlformats.org/spreadsheetml/2006/main">
  <authors>
    <author>89326879</author>
    <author>Author</author>
  </authors>
  <commentList>
    <comment ref="D22" authorId="0">
      <text>
        <r>
          <rPr>
            <b/>
            <sz val="9"/>
            <rFont val="Tahoma"/>
            <family val="2"/>
          </rPr>
          <t>89326879:</t>
        </r>
        <r>
          <rPr>
            <sz val="9"/>
            <rFont val="Tahoma"/>
            <family val="2"/>
          </rPr>
          <t xml:space="preserve">
Earlier unit was - No.</t>
        </r>
      </text>
    </comment>
    <comment ref="C32" authorId="1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NEW BIN CODE ALLOTED</t>
        </r>
      </text>
    </comment>
  </commentList>
</comments>
</file>

<file path=xl/sharedStrings.xml><?xml version="1.0" encoding="utf-8"?>
<sst xmlns="http://schemas.openxmlformats.org/spreadsheetml/2006/main" count="5258" uniqueCount="1922">
  <si>
    <t>Part-II, 33/11 kV SUB-STATIONS</t>
  </si>
  <si>
    <t>New Sub-stations:</t>
  </si>
  <si>
    <t xml:space="preserve">1.6 MVA, 33/11 kV S/s expandable to 2 x 1.6 MVA with control room </t>
  </si>
  <si>
    <t>B-1(i)</t>
  </si>
  <si>
    <t>(ii)</t>
  </si>
  <si>
    <t>(iii)</t>
  </si>
  <si>
    <t>ALUMINIUM 1C 16 SQ MM UNARMOURED LT PVC</t>
  </si>
  <si>
    <t>ALUMINIUM 1C 50 SQ MM UNARMOURED LT PVC</t>
  </si>
  <si>
    <t>7H.W. 50X65MM LT SHACKLE INSULATOR CMPLT</t>
  </si>
  <si>
    <t>OIL IMM 3 PH CTPT UNITS 33 KV - 30/5A</t>
  </si>
  <si>
    <t>OIL IMM 3 PH CTPT UNITS 33 KV - 50/5 A</t>
  </si>
  <si>
    <t>OIL IMM 3 PH CTPT UNITS 33 KV-100&amp;200/5A</t>
  </si>
  <si>
    <t xml:space="preserve"> </t>
  </si>
  <si>
    <t>16x40 mm</t>
  </si>
  <si>
    <t>Km</t>
  </si>
  <si>
    <t>i</t>
  </si>
  <si>
    <t>PARTICULARS</t>
  </si>
  <si>
    <t>Unit</t>
  </si>
  <si>
    <t>Qnty</t>
  </si>
  <si>
    <t>No</t>
  </si>
  <si>
    <t>Qty</t>
  </si>
  <si>
    <t>Combination Plier</t>
  </si>
  <si>
    <t>SAFETY HELMETS</t>
  </si>
  <si>
    <t>30 Volts 100 AH lead acid battery</t>
  </si>
  <si>
    <t>LT 3 phase 4 Wire Aerial Bunched Cable of Size 3X25+1x25</t>
  </si>
  <si>
    <t>Distribution box 1 ph. 9 connectors along with 2 Nos. Steel Strap &amp; Buckles.</t>
  </si>
  <si>
    <t>End terminating jointing kit for 400 sqmm XLPE cable</t>
  </si>
  <si>
    <t xml:space="preserve">Suspension clamp assembly (consisting of GI Pole Clamp, GI Flat type I-hook &amp; Nylon Cable tie). </t>
  </si>
  <si>
    <t>11KV D.O.FUSE ELEMENT (1.5 AMP TO 10 AMP</t>
  </si>
  <si>
    <t>HRC FUSE 250 AMPS</t>
  </si>
  <si>
    <t>HRC FUSE 400 AMPS</t>
  </si>
  <si>
    <t>FUSE ELEMENT 25 AMPS FOR 33 KV DO</t>
  </si>
  <si>
    <t>FUSE ELEMENT 50 AMPS FOR 33 KV DO</t>
  </si>
  <si>
    <t>H.R.C. FUSE UNITS: -100 Amps.</t>
  </si>
  <si>
    <t>TRANSFORMER 33/.4KV 50KVA</t>
  </si>
  <si>
    <t>TRANSFORMER 33/11KV 1.6 MVA POWER</t>
  </si>
  <si>
    <t>Note:</t>
  </si>
  <si>
    <t>All the rates are with considering price variation clause.</t>
  </si>
  <si>
    <t>220 KV CT 300-150/1</t>
  </si>
  <si>
    <t>220 KV CT 600-300/1</t>
  </si>
  <si>
    <t>33KV OIL IMMERSED 3 PHASE 300-150/5A CT-</t>
  </si>
  <si>
    <t>11 KV C.T's (OUT DOOR TYPE)200-100/5 A</t>
  </si>
  <si>
    <t>11 KV C.T's (OUT DOOR TYPE)300-150/5 A</t>
  </si>
  <si>
    <t>33KV CT's(300-150/5)A oil filled OD Type</t>
  </si>
  <si>
    <t>33KV CT's(200-100/5)A oil filled OD Type</t>
  </si>
  <si>
    <t>FUSE WIRE TINNED COPPER 10 SWG</t>
  </si>
  <si>
    <t>PORCELAIN KIT-KATS FUSE UNITS 32 Amps.</t>
  </si>
  <si>
    <t>PORCELAIN KIT-KATS FUSE UNITS 63 Amps.</t>
  </si>
  <si>
    <t>LT line conversion using Rabbit conductor maximum span of 45 mtrs</t>
  </si>
  <si>
    <t>1 phase 2 wire to 1 phase 3 wire conversion</t>
  </si>
  <si>
    <t>D-11(I)</t>
  </si>
  <si>
    <t>1 phase 2 wire to 3 phase 4 wire conversion</t>
  </si>
  <si>
    <t>D-11(II)</t>
  </si>
  <si>
    <t>1 phase 3 wire to 3 phase 4 wire conversion</t>
  </si>
  <si>
    <t>D-11(III)</t>
  </si>
  <si>
    <t>1 phase 3 wire to 3 phase 5 wire conversion</t>
  </si>
  <si>
    <t>D-11(IV)</t>
  </si>
  <si>
    <t>Conversion of 1 Km 1 Phase 3 wire LT line into 11 kV line</t>
  </si>
  <si>
    <t>D-12</t>
  </si>
  <si>
    <t>(S)</t>
  </si>
  <si>
    <t>With 11 kV  3 phase Aerial Bunched Cable 3x70+70 sqmm</t>
  </si>
  <si>
    <t>C-3 (B)[i]</t>
  </si>
  <si>
    <t>C-3 (B)[ii]</t>
  </si>
  <si>
    <t>Using 200 Kg; 9.0 Mtr long PCC Pole</t>
  </si>
  <si>
    <t>C-3 (B)[iii]</t>
  </si>
  <si>
    <t>C-3 (B)[iv]</t>
  </si>
  <si>
    <t>25 kVA on 140 Kg, 8.0 Mtr long PCC pole</t>
  </si>
  <si>
    <t>63 kVA on 140 Kg, 8.0 Mtr long PCC pole</t>
  </si>
  <si>
    <t xml:space="preserve">Electrically insulated 11 kV mats infront of electrical control panel </t>
  </si>
  <si>
    <t>Distribution box 3 phase 5 connectors along with 2 Nos. Steel Strap &amp; Buckles.</t>
  </si>
  <si>
    <t>INSULATING PIERCING CONNECTOR FOR ABC TO</t>
  </si>
  <si>
    <t>UDC- UNIVERSAL DISTRIBUTION CONNECTOR</t>
  </si>
  <si>
    <t>STRAIGHT THROUGH JOINT</t>
  </si>
  <si>
    <t>END CLAMP CAP FOR 50/70 SQMM</t>
  </si>
  <si>
    <t>M S ANGLE 50X50X5 MM</t>
  </si>
  <si>
    <t>M S ANGLE 65X65X6 MM</t>
  </si>
  <si>
    <t>M S ANGLE 75X75X6 MM</t>
  </si>
  <si>
    <t>200 kVA on  H-Beam 152x152 mm, 37.1 Kg/Mtr, 11 mtr long</t>
  </si>
  <si>
    <t>C-7(B-1)(IV)</t>
  </si>
  <si>
    <t>(B-1) A</t>
  </si>
  <si>
    <t xml:space="preserve">Transportation charges </t>
  </si>
  <si>
    <t>Grand Total</t>
  </si>
  <si>
    <t>A-5 (i)</t>
  </si>
  <si>
    <t>Note:-</t>
  </si>
  <si>
    <t>2016-17</t>
  </si>
  <si>
    <t>G.I.EARTHING PIPE/ROD SIZE 2500x25 mm</t>
  </si>
  <si>
    <t>ANCHOR CLAMP/ DEAD END CLAMP</t>
  </si>
  <si>
    <t>SUSPENSION CLAMP</t>
  </si>
  <si>
    <t>PCC POLE 140 KG; 8,0 MTR LONG</t>
  </si>
  <si>
    <t>PCC POLE 280 KG; 9,1 MTR LONG</t>
  </si>
  <si>
    <t>POLE-STEEL TUBULAR 100X125X150MM 10.9 MT</t>
  </si>
  <si>
    <t>Through Bolt 12 mm</t>
  </si>
  <si>
    <t>D.C. Cross arm 3.8 Mtr 100 x 50 mm.</t>
  </si>
  <si>
    <t>Stay clamp LT/Pair</t>
  </si>
  <si>
    <t>LT U CLAMP</t>
  </si>
  <si>
    <t>POLE CLAMP</t>
  </si>
  <si>
    <t>Service ring made of 16 mm</t>
  </si>
  <si>
    <t>HT STAY CLAMP PCC POLE 280 KG A TYPE</t>
  </si>
  <si>
    <t>HT STAY CLAMP RAIL POLE A TYPE</t>
  </si>
  <si>
    <t>HT STAY CLAMP R S JOIST A TYPE</t>
  </si>
  <si>
    <t>HT STAY CLAMP RAIL POLE B TYPE</t>
  </si>
  <si>
    <t>33 KV TOP CLAMP SEMIFINISHED</t>
  </si>
  <si>
    <t>LT THREE PIN CROSS ARM</t>
  </si>
  <si>
    <t>713081LT 4-Pin cross arms 50 x 50 x 6 mm</t>
  </si>
  <si>
    <t>LT FIVE PIN CROSS ARM</t>
  </si>
  <si>
    <t>11 KV V CROSS ARM</t>
  </si>
  <si>
    <t>D.O. / LA Mounting channel 75x40 mm.</t>
  </si>
  <si>
    <t>1.1 MTR DPDC CROSS ARM</t>
  </si>
  <si>
    <t>11KV 4 FEET CENTRE DC CROSS ARM</t>
  </si>
  <si>
    <t>11KV 3 PHASE AERIAL BUNCHED XLPE CABLE 3</t>
  </si>
  <si>
    <t>11KV AB XLPE CABLE STRAIGHT THRU JOINT K</t>
  </si>
  <si>
    <t>LT 1PH 3 WIRE AERIAL BUNCHED CABLE OF SI</t>
  </si>
  <si>
    <t>M S CHANNEL 75X40 MM CP</t>
  </si>
  <si>
    <t>M.S.FLATE 50X6 MM CP</t>
  </si>
  <si>
    <t>16 sq.mm Single Core PVC Sheathed Unarmoured Cables</t>
  </si>
  <si>
    <t>25 sq.mm Single Core PVC Sheathed Unarmoured Cables</t>
  </si>
  <si>
    <t>185 sq.mm Single Core PVC Sheathed Unarmoured Cables</t>
  </si>
  <si>
    <t>300 sq.mm Single Core PVC Sheathed Unarmoured Cables</t>
  </si>
  <si>
    <t>Earthing set (Pipe earth as per DRG No.-G/008)</t>
  </si>
  <si>
    <t>33KV CT's (100-50/5)A oil filled OD Type</t>
  </si>
  <si>
    <t>Single pole mounted low capacity Single phase / Three phase 11/.4 kV Distribution Transformer Sub-station</t>
  </si>
  <si>
    <t>Using Dog conductor</t>
  </si>
  <si>
    <t>Using Raccoon conductor</t>
  </si>
  <si>
    <t>INDOOR TYPE 33KV CT:PT UNIT 100/5A</t>
  </si>
  <si>
    <t>L.T. C.T.100/5 Amps.</t>
  </si>
  <si>
    <t>INDOOR TYPE 33KV CT:PT UNIT 50/5A</t>
  </si>
  <si>
    <t>L.T. C.T.200/5 Amps.</t>
  </si>
  <si>
    <t>L.T. C.T.300/5 Amps.</t>
  </si>
  <si>
    <t>L.T. C.T.500/5 Amps.</t>
  </si>
  <si>
    <t>220 KV CT 800-400/1-1-1-1-1AMP.</t>
  </si>
  <si>
    <t>33KV CT 400-200/5-5A</t>
  </si>
  <si>
    <t>CURRENT TRANSFORMER 600-300/1/1-1A,132KV</t>
  </si>
  <si>
    <t>132 KV CT 150-75/1</t>
  </si>
  <si>
    <t>220 KV CT 150-75/1</t>
  </si>
  <si>
    <t>185 Sq mm</t>
  </si>
  <si>
    <t>225 Sq mm</t>
  </si>
  <si>
    <t>240 Sq mm</t>
  </si>
  <si>
    <t>300 Sq mm</t>
  </si>
  <si>
    <t>400 Sq mm</t>
  </si>
  <si>
    <t>Battery Hydrometer</t>
  </si>
  <si>
    <t>Digital Multimeter Electronic Type</t>
  </si>
  <si>
    <t>Rubber Hand gloves 15 kV (Seamless)</t>
  </si>
  <si>
    <t>Thermometer (Wall Mounted)</t>
  </si>
  <si>
    <t>Portable drilling machine</t>
  </si>
  <si>
    <t>Megger 500 V</t>
  </si>
  <si>
    <t>11 KV Strain hardware fittings.</t>
  </si>
  <si>
    <t>33 KV Strain hardware fittings.</t>
  </si>
  <si>
    <t>SSH ASSEMBLY WITH ARCING HORN FOR PANTHE</t>
  </si>
  <si>
    <t>BINDING WIRE</t>
  </si>
  <si>
    <t>CONDUCTOR AAA SQURREL</t>
  </si>
  <si>
    <t>CONDUCTOR AAA WEASEL</t>
  </si>
  <si>
    <t>CONDUCTOR AAA RABBIT</t>
  </si>
  <si>
    <t>CONDUCTOR AAA RACOON</t>
  </si>
  <si>
    <t>C-10 (I)</t>
  </si>
  <si>
    <t>C-10 (II)</t>
  </si>
  <si>
    <t>C-10 (III)</t>
  </si>
  <si>
    <t>11/.4 kV Out door Sub-station (16 kVA Transformer)</t>
  </si>
  <si>
    <t>C-11</t>
  </si>
  <si>
    <t>iii</t>
  </si>
  <si>
    <t>iv</t>
  </si>
  <si>
    <t>v</t>
  </si>
  <si>
    <t>vi</t>
  </si>
  <si>
    <t>vii</t>
  </si>
  <si>
    <t>viii</t>
  </si>
  <si>
    <t>Using Pipe Pushing Method.</t>
  </si>
  <si>
    <t xml:space="preserve">33 kV Under ground cable crossing under existing Railway track / Road for 60 Mtr long Corridor / route length of HDPE pipe under 2.5 M. deep for ground level single feeder line </t>
  </si>
  <si>
    <t>A-6(iv)</t>
  </si>
  <si>
    <t>A-6(iii)</t>
  </si>
  <si>
    <t>Earthing Coil for messenger wire</t>
  </si>
  <si>
    <t>Anchor sleeve for messenger wire</t>
  </si>
  <si>
    <t>M S NUTS AND BOLTS: - 16x65mm</t>
  </si>
  <si>
    <t>M S NUTS AND BOLTS: - 16x90mm</t>
  </si>
  <si>
    <t>M S NUTS AND BOLTS: - 16x100mm</t>
  </si>
  <si>
    <t>M S NUTS AND BOLTS: - 16x140mm</t>
  </si>
  <si>
    <t>M S NUTS AND BOLTS: - 16x160mm</t>
  </si>
  <si>
    <t>M S NUTS AND BOLTS - 16x200mm</t>
  </si>
  <si>
    <t>M S NUTS AND BOLTS: - 16x300mm</t>
  </si>
  <si>
    <t>M S NUTS AND BOLTS: - 16x250mm</t>
  </si>
  <si>
    <t>M S NUTS AND BOLTS: - 20x75mm</t>
  </si>
  <si>
    <t>M S NUTS AND BOLTS: - 20x90mm</t>
  </si>
  <si>
    <t>M S NUTS AND BOLTS: - 20x110mm</t>
  </si>
  <si>
    <t>M S NUTS AND BOLTS: - 24x120mm</t>
  </si>
  <si>
    <t>Foundation bolt 25x1200 mm</t>
  </si>
  <si>
    <t>WASHER SPRING 25MM HOLE DIA</t>
  </si>
  <si>
    <t>H.R.C. Fuse Unit 100 Amps.</t>
  </si>
  <si>
    <t>H.R.C. Fuse Unit 400 Amps.</t>
  </si>
  <si>
    <t>T.C. Fuse Wire 22 SWG</t>
  </si>
  <si>
    <t>T.C. Fuse Wire 20 SWG</t>
  </si>
  <si>
    <t>T.C. Fuse Wire 18 SWG</t>
  </si>
  <si>
    <t>33 kV ABC Termination kit 240 sqmm</t>
  </si>
  <si>
    <t>33 kV ABC Termination kit 300 sqmm</t>
  </si>
  <si>
    <t>33 kV ABC Termination kit 400 sqmm</t>
  </si>
  <si>
    <t>Cable tie for AB Cable</t>
  </si>
  <si>
    <t xml:space="preserve">11 kV 3 phase Aerial Bunched Cable 3x35 + 35 Sq mm </t>
  </si>
  <si>
    <t xml:space="preserve">11 kV 3 phase Aerial Bunched Cable 3x70 + 70 Sq mm </t>
  </si>
  <si>
    <t xml:space="preserve">11 kV 3 phase Aerial Bunched Cable 3x95 + 95 Sq mm </t>
  </si>
  <si>
    <t xml:space="preserve">11 kV 3 phase Aerial Bunched Cable 3x120 + 120 Sq mm </t>
  </si>
  <si>
    <t>11 kV AB Cable Straight thru' joint kit suitable for 35-70 sqmm</t>
  </si>
  <si>
    <t>11 kV AB Cable Straight thru' joint kit suitable for 95-120 sqmm</t>
  </si>
  <si>
    <t>11 kV ABC Termination kit 35-70 sqmm</t>
  </si>
  <si>
    <t>11 kV ABC Termination kit 95-120 sqmm</t>
  </si>
  <si>
    <t>LT 1 phase 3 Wire Aerial Bunched Cable of Size 1X25+1X16+1x25</t>
  </si>
  <si>
    <t>LT 3 phase 5 Wire Aerial Bunched Cable of Size 3X16+1X16+1x25</t>
  </si>
  <si>
    <t>35 Sqmm.</t>
  </si>
  <si>
    <t>50 Sqmm.</t>
  </si>
  <si>
    <t>70 Sqmm.</t>
  </si>
  <si>
    <t>120 Sqmm.</t>
  </si>
  <si>
    <t>150 Sqmm.</t>
  </si>
  <si>
    <t>300 Sqmm.</t>
  </si>
  <si>
    <t>16.0 Sqmm.</t>
  </si>
  <si>
    <t>km</t>
  </si>
  <si>
    <t>T.W.METER BOARD, 300X300X75 MM, COATED W</t>
  </si>
  <si>
    <t>Meter Box (GI Plain Sheet) for 3 Ph LTCT</t>
  </si>
  <si>
    <t>LTCT METER WITH DLMS</t>
  </si>
  <si>
    <t>Meter shifting of Three phase consumer to outside of premises with New Service Cable.</t>
  </si>
  <si>
    <t>E-6</t>
  </si>
  <si>
    <t>E-6(i)</t>
  </si>
  <si>
    <t>E-6(ii)</t>
  </si>
  <si>
    <t>SAP DESCRIPTION</t>
  </si>
  <si>
    <t>33KV 400 sqmm XLPE cable (Underground)</t>
  </si>
  <si>
    <t>2 Core (ARMOURED)</t>
  </si>
  <si>
    <t>2 Core (UNARMOURED)</t>
  </si>
  <si>
    <t>4 Core (UNARMOURED)</t>
  </si>
  <si>
    <t>4 Core (ARMOURED)</t>
  </si>
  <si>
    <t>8 Core (UNARMOURED)</t>
  </si>
  <si>
    <t>10 Core (UNARMOURED)</t>
  </si>
  <si>
    <t>10 Core (ARMOURED)</t>
  </si>
  <si>
    <t>12 Core (UNARMOURED)</t>
  </si>
  <si>
    <t>33 kV ; 600 Amps without earth switch.</t>
  </si>
  <si>
    <t xml:space="preserve">  5 kVAR</t>
  </si>
  <si>
    <t>10 kVAR</t>
  </si>
  <si>
    <t>12 kVAR</t>
  </si>
  <si>
    <t>20 kVAR</t>
  </si>
  <si>
    <t>1089 kVAR 12.1 kV 3-phase 50 Hz Outdoor type Capacitor bank having step as 363</t>
  </si>
  <si>
    <t>A-4</t>
  </si>
  <si>
    <t>(H)</t>
  </si>
  <si>
    <t>A-5</t>
  </si>
  <si>
    <t>(I)</t>
  </si>
  <si>
    <t>A-6</t>
  </si>
  <si>
    <t>60 Mtr</t>
  </si>
  <si>
    <t>With 3 core U/G XLPE 240 sqmm Cable</t>
  </si>
  <si>
    <t>A-6(i)</t>
  </si>
  <si>
    <t>LIGHTNING ARRESTORS 30 KV gapless type</t>
  </si>
  <si>
    <t>Transformer mounting 100 x 50 mm channel</t>
  </si>
  <si>
    <t>I bolt 16 mm Dia</t>
  </si>
  <si>
    <t>STAY WIRES : - 7/4,00 MM (7/8 SWG).</t>
  </si>
  <si>
    <t>STAY WIRES: - 7/3,05 MM (7/10 SWG)</t>
  </si>
  <si>
    <t>Earthing rod 25mm x 1.2 Mtrs.</t>
  </si>
  <si>
    <t>G.I. WIRES: - 3,15MM (10 SWG)</t>
  </si>
  <si>
    <t>G.I. WIRES: - 4,0MM (8 SWG)</t>
  </si>
  <si>
    <t>G.I. WIRES: - 5,0MM (6 SWG)</t>
  </si>
  <si>
    <t>DOUB TENS H/W FOR ZEB/ CAMEL COND S/S TY</t>
  </si>
  <si>
    <t>Jointing Kit&amp;HW LT ABC CableStraight Sus</t>
  </si>
  <si>
    <t>Relocation of 11/0.4 kV Out-door type Transformer Sub-station using H-Beam Pole and 3.5 Core PVC Cable [Based on Cost Schedule C-7 (B-1) except X-mer Cost]</t>
  </si>
  <si>
    <t>C-7(B-1) A (I)</t>
  </si>
  <si>
    <t>63 kVA on  H-Beam 152x152 mm, 37.1 Kg/Mtr, 11 mtr long</t>
  </si>
  <si>
    <t>C-7(B-1) A (II)</t>
  </si>
  <si>
    <t>**</t>
  </si>
  <si>
    <t>1.1KV LT  AB CABLE 3X50+1X16+1X35 SQMM</t>
  </si>
  <si>
    <t>LT 3PH 5 WIRE AERIAL BUNCHED CABLE OF SI</t>
  </si>
  <si>
    <t>AC Distribution board for AC/DC Supply</t>
  </si>
  <si>
    <t xml:space="preserve">11 kV under ground cable crossing under railway track for 60 mtr length, under 2.5 mtr deep for ground level </t>
  </si>
  <si>
    <t>C-12 (i)</t>
  </si>
  <si>
    <t>C-12 (ii)</t>
  </si>
  <si>
    <t>L.T. 5 Pin Cross Arm 50x50x6 mm</t>
  </si>
  <si>
    <t>11 kV Cross Arm Cleat type</t>
  </si>
  <si>
    <t>DELETED</t>
  </si>
  <si>
    <t>Meter Box (GI Plain Sheet) for 3 Phase LT CT operated meter</t>
  </si>
  <si>
    <t>Non Directional, 30-V, 5-Amps IDMT relay.</t>
  </si>
  <si>
    <t>Set of 3 O.C. relays instantaneous high set feature</t>
  </si>
  <si>
    <t>Set of 2 O.C.+ 1 earth fault relay without instantaneous high set feature</t>
  </si>
  <si>
    <t>Master trip relays</t>
  </si>
  <si>
    <t xml:space="preserve">33 kV CT's (400-200/5) Amps. Oil filled </t>
  </si>
  <si>
    <t>33 kV CT's (300-150/5) Amps oil filled</t>
  </si>
  <si>
    <t>33 kV CT's (200-100/5) Amps oil filled</t>
  </si>
  <si>
    <t>33 kV CT's  (100-50/5) Amps. oil filled</t>
  </si>
  <si>
    <t>11 kV Single Phase PT's (Oil filled)</t>
  </si>
  <si>
    <t>100 kVA on H-Beam 152x152 mm,37.1 Kg/Mtr, 11 mtr long</t>
  </si>
  <si>
    <t>C-7(B-1) A (III)</t>
  </si>
  <si>
    <t>200 kVA on  H-Beam 152x152 mm, 37.1 Kg/Mtr,11 mtr long</t>
  </si>
  <si>
    <t>C-7(B-1) A (IV)</t>
  </si>
  <si>
    <t>(B-1) B</t>
  </si>
  <si>
    <t>Renovation of Existing Distribution Transformer</t>
  </si>
  <si>
    <t>25 kVA Transformer</t>
  </si>
  <si>
    <t>C-7(B-1) B (I)</t>
  </si>
  <si>
    <t>63 kVA Transformer</t>
  </si>
  <si>
    <t>C-7(B-1) B (II)</t>
  </si>
  <si>
    <t>100 kVA Transformer</t>
  </si>
  <si>
    <t>CT/PT UNIT 33KV/110 V 400-200/5 A OIL</t>
  </si>
  <si>
    <t>VOLTAGE TRANSFORMER 11 K V/110 VOLTS SIN</t>
  </si>
  <si>
    <t>VOLTAGE TRANSFORMER 132KV/110V SINGLE PH</t>
  </si>
  <si>
    <t>VOLTAGE X-MER 220KV/110-63.5V SINGLE PH</t>
  </si>
  <si>
    <t>SAFETY BELTS</t>
  </si>
  <si>
    <t>Specific gravity correction chart</t>
  </si>
  <si>
    <t>25 Sq.mm, 4 Core</t>
  </si>
  <si>
    <t xml:space="preserve">On 280 Kg, 9.1 Mtrs long PCC poles </t>
  </si>
  <si>
    <t>A-3(i)</t>
  </si>
  <si>
    <t>A-3(ii)</t>
  </si>
  <si>
    <t>On H-Beam 152x152 mm, 37.1Kg/mtr 13 Mtrs long supports.</t>
  </si>
  <si>
    <t>A-3(iii)</t>
  </si>
  <si>
    <t>(E)</t>
  </si>
  <si>
    <t>MS H BEAMS 152X152MM, 37.1 KG/MTR 11MTR</t>
  </si>
  <si>
    <t>G.I. WIRES: - Barbed wire.</t>
  </si>
  <si>
    <t>I BOLT M 20X128MM THREAD PORTION 50 MM I</t>
  </si>
  <si>
    <t>BOLT WITH NUT G I 16X40 MM</t>
  </si>
  <si>
    <t>BOLT WITH NUT GI 16X65 MM</t>
  </si>
  <si>
    <t>12x100 mm</t>
  </si>
  <si>
    <t>Porcelain Kit-kat fuse unit 63 Amps.</t>
  </si>
  <si>
    <t>Bin Code No.</t>
  </si>
  <si>
    <t>Rate</t>
  </si>
  <si>
    <t>Single Pole Cut Point Fitting 100x50 mm</t>
  </si>
  <si>
    <t>G.I.Wire 4.0 mm (8 SWG)</t>
  </si>
  <si>
    <t>G.I.Wire 5.0 mm (6 SWG)</t>
  </si>
  <si>
    <t>Jointing kit 11 kV ABC Cable DEAD END ASM</t>
  </si>
  <si>
    <t>33 kV Guarding Channel 100x50 mm</t>
  </si>
  <si>
    <t>LT Single Phase MCB 5 Amps.</t>
  </si>
  <si>
    <t>LT Single Phase MCB 6 to 16 Amps.</t>
  </si>
  <si>
    <t>LT Three Phase MCB 32 Amps.</t>
  </si>
  <si>
    <t>LT Three Phase MCB 16 Amps.</t>
  </si>
  <si>
    <t>ELCB-MCB Composite Unit 10 Amps. (100 mA DP)</t>
  </si>
  <si>
    <t>ELCB-MCB Composite Unit 16 Amps. (100 mA DP)</t>
  </si>
  <si>
    <t>ELCB-MCB Composite Unit 20 Amps. (100 mA DP)</t>
  </si>
  <si>
    <t>MCCB 32 Amps. (10 kA TP)</t>
  </si>
  <si>
    <t>MCCB 160 Amps. (10 kA TP)</t>
  </si>
  <si>
    <t>D.O.Fuse element 11 kV (1.5 Amp. to 10 Amp.)</t>
  </si>
  <si>
    <t>Universal Meter Box for HT meters.</t>
  </si>
  <si>
    <t>Test terminal Box (TTB)</t>
  </si>
  <si>
    <t>ISI MARKED CABLE ALU 1CORE 50 SQMM 1100V</t>
  </si>
  <si>
    <t>1.1KV LT AB CABLE 3X16+1X16+1X25 SQMM</t>
  </si>
  <si>
    <t>1.1KV LT AB CABLE 3X25+1X16+1X25 SQMM</t>
  </si>
  <si>
    <t>1.1KV LT AB CABLE 3X35+1X16+1X25 SQMM</t>
  </si>
  <si>
    <t>11KV PVC INSULATED 2.5 SQMM TWIN CORE SI</t>
  </si>
  <si>
    <t>11KV PVC INSULATED 6 SQMM TWIN CORE SING</t>
  </si>
  <si>
    <t>11KV PVC INSULATED 10 SQMM FOUR CORE THR</t>
  </si>
  <si>
    <t>11KV PVC INSULATED 150SQMM SINGLE CORE X</t>
  </si>
  <si>
    <t>11KV PVC INSULATED 16SQMM 2 CORE ARMOURE</t>
  </si>
  <si>
    <t>11KV PVC INSULATED 10SQMM 4 CORE ARMOURE</t>
  </si>
  <si>
    <t>33KV A.B. XLPE CABLE 3X95 SQMM</t>
  </si>
  <si>
    <t>33KV A.B. XLPE CABLE 3X185 SQMM</t>
  </si>
  <si>
    <t>33KV A.B. XLPE CABLE 3X240 SQMM</t>
  </si>
  <si>
    <t>11KV ABC TERMINATION KIT 35-70 SQMM</t>
  </si>
  <si>
    <t>CABLE TIE FOR AB CABLE (UV PROTECTED BLA</t>
  </si>
  <si>
    <t>Jointing kit 33KV 3x400sqmm XLPE cable</t>
  </si>
  <si>
    <t>1.1KV STRAIGHT THROUGH JOINTING KIT FOR</t>
  </si>
  <si>
    <t>3X95 SQMM 11KV HEAT SHRINKABLE TYPE JOIN</t>
  </si>
  <si>
    <t>3X150 SQMM 11KV HEAT SHRINKABLE TYPE JOI</t>
  </si>
  <si>
    <t>3X240 SQMM 11KV HEAT SHRINKABLE TYPE JOI</t>
  </si>
  <si>
    <t>3X400 SQMM 11KV HEAT SHRINKABLE TYPE JOI</t>
  </si>
  <si>
    <t>3X95 SQMM 11KV HEAT SHRINKABLE INDOOR TY</t>
  </si>
  <si>
    <t>3X240 SQMM 11KV HEAT SHRINKABLE INDOOR T</t>
  </si>
  <si>
    <t>3X400 SQMM 11KV HEAT SHRINKABLE INDOOR T</t>
  </si>
  <si>
    <t>MARSHELLING BOX</t>
  </si>
  <si>
    <t>10 SQMM ALUMINIUM END TERMINALS (LUGS)</t>
  </si>
  <si>
    <t>Particulars of Schedules</t>
  </si>
  <si>
    <t>Schedule Reference</t>
  </si>
  <si>
    <t>Stay Clamp Rail "B" type</t>
  </si>
  <si>
    <t>Back Clamp Rail for H-Beam</t>
  </si>
  <si>
    <t>L.T. 3 Pin Cross Arm 50x50x6 mm</t>
  </si>
  <si>
    <t>L.T. 4 Pin Cross Arm 50x50x6 mm</t>
  </si>
  <si>
    <t>Pad Connector (for Panther conductor)</t>
  </si>
  <si>
    <t>Strain Plate (50x6 mm) for 11 kV</t>
  </si>
  <si>
    <t>33 kV CTPT Unit 200/5A</t>
  </si>
  <si>
    <t>33 kV CTPT Unit 400-200/5 A</t>
  </si>
  <si>
    <t>Indoor Type 33 kV Metering Cubical CTPT Unit 50/5 A</t>
  </si>
  <si>
    <t xml:space="preserve">Transformer Oil In Barrel </t>
  </si>
  <si>
    <t xml:space="preserve">Transformer Oil In Tanker </t>
  </si>
  <si>
    <t>11 KV Pin insulator without GI Pin</t>
  </si>
  <si>
    <t>3.15 to 5.0 MVA with 33 kV VCB</t>
  </si>
  <si>
    <t>ROUTE &amp; JOINT INDICATING STONE WITH M.S.</t>
  </si>
  <si>
    <t>Aluminium Paint.</t>
  </si>
  <si>
    <t>Red Oxide Paint.</t>
  </si>
  <si>
    <t>LT AB CABLE 3X70+1X16 (STREET LIGHT)+1X5</t>
  </si>
  <si>
    <t>ISI MARKED CABLE ALU 1CORE 70 SQMM 1100V</t>
  </si>
  <si>
    <t>33KV CONTROL &amp; RELAY PANEL- TRANSFORMER</t>
  </si>
  <si>
    <t>11KV CONTROL &amp; RELAY PANEL- FEEDER CONTR</t>
  </si>
  <si>
    <t>11KV CONTROL &amp; RELAY PANEL- TRANSFORMER</t>
  </si>
  <si>
    <t>3 phase 4 Wire line on 140 kg 8.0 Mtr.long PCC poles with 1100 V grade AB XLPE Cable 3x16+1x25 sq.mm.</t>
  </si>
  <si>
    <t xml:space="preserve">D-6 [4] </t>
  </si>
  <si>
    <t>3 phase 5 Wire L.T. Line on R.S.Joist (175x85) mm, 9.3 Mtr. Long (By replacement of existing bare LT conductor) for Urban area using AB XLPE Cable of size</t>
  </si>
  <si>
    <t>1100 Volt grade AB Cable 3x50+1x25+1x35</t>
  </si>
  <si>
    <t>D-6(A) (i)</t>
  </si>
  <si>
    <t>Additional pole of R.S. Joist (125x70) mm (Mid span) for L.T.Line with A.B.Cable.</t>
  </si>
  <si>
    <t>D-6(B)</t>
  </si>
  <si>
    <t>HVDS system of 200 kVA parent DTR taking 4 KM LT to be converted</t>
  </si>
  <si>
    <t>D-7</t>
  </si>
  <si>
    <t>4 Km</t>
  </si>
  <si>
    <t>%tage Incr. /  Decr. in cost</t>
  </si>
  <si>
    <t>PART-I, 33 kV LINES AND D.P. STRUCTURES</t>
  </si>
  <si>
    <t>(A)</t>
  </si>
  <si>
    <t>100 kVA to 200 kVA</t>
  </si>
  <si>
    <t>Augmentation of 1 km. of 33 kV line from Raccoon to Dog conductor.</t>
  </si>
  <si>
    <t>A-3 (A)</t>
  </si>
  <si>
    <t>(F)</t>
  </si>
  <si>
    <t>A-3 (B)</t>
  </si>
  <si>
    <t>Per No.</t>
  </si>
  <si>
    <t>(G)</t>
  </si>
  <si>
    <t>T.C. Fuse Wire 16 SWG</t>
  </si>
  <si>
    <t>T.C. Fuse Wire 14 SWG</t>
  </si>
  <si>
    <t>CABLE MARKER FOR U/G CABLE</t>
  </si>
  <si>
    <t>LT FEEDER PILLER BOX FOR 1PH 8 CONNECTIO</t>
  </si>
  <si>
    <t>LT FEEDER PILLER BOX FOR 3PH 4 CONNECTIO</t>
  </si>
  <si>
    <t>LT FEEDER PILLER BOX FOR 3PH 8 CONNECTIO</t>
  </si>
  <si>
    <t>LT LINE SPACERS</t>
  </si>
  <si>
    <t>GSM MODEM</t>
  </si>
  <si>
    <t>EYE HOOK</t>
  </si>
  <si>
    <t>33 KV guarding channel 100x50 mm.</t>
  </si>
  <si>
    <t>METAL HALIDE LAMP 250 WATT</t>
  </si>
  <si>
    <t>LT 3 phase 5 Wire Aerial Bunched Cable of Size 3X50+1x16+1x35</t>
  </si>
  <si>
    <t>PORCELAIN KITKATS FUSE UNITS 16 AMPS</t>
  </si>
  <si>
    <t>LT 3 phase 5 Wire Aerial Bunched Cable of Size 3X25+1X16+1x25</t>
  </si>
  <si>
    <t>LT 3 phase 5 Wire Aerial Bunched Cable of Size 3X35+1x16+1x25</t>
  </si>
  <si>
    <t>Spot Billing Machine</t>
  </si>
  <si>
    <t>11 kV Oil Immersed 3 Phase CT-PT Unit of capacity --</t>
  </si>
  <si>
    <t>200/5 Amp</t>
  </si>
  <si>
    <t>100/5 Amp</t>
  </si>
  <si>
    <t>33 kV 2 feeder control panel (Static Relays)</t>
  </si>
  <si>
    <t>L.T. Distribution Box for 200 kVA X'mer (400 A, isolator &amp; 6 SP MCCB of 120A)</t>
  </si>
  <si>
    <t>L.T. Distribution Box for 315 kVA X'mer (600 A, isolator &amp; 9 SP MCCB of 160A)</t>
  </si>
  <si>
    <t>D-4(I)</t>
  </si>
  <si>
    <t>3 Phase, 5 Wire LT line on 175 x 85 mm, 9.3 Mtrs long R.S. Joist with 3 Raccoon &amp; 2 Weasel conductors (Span upto 65 Meters)</t>
  </si>
  <si>
    <t>D-4(II)</t>
  </si>
  <si>
    <t>1 Phase, 3 Wire LT line on 9.3 Mtrs long 125x70 mm R.S. Joist with following conductors</t>
  </si>
  <si>
    <t>D-5(I)</t>
  </si>
  <si>
    <t>SET OF 3 O.C. RELAYS INSTANTANEOUS HIGH</t>
  </si>
  <si>
    <t>SET OF 2 O.C. +1 EARTH FAULT RELAY WITHO</t>
  </si>
  <si>
    <t>TESTER NEON/PENCIL/SCREW DRIVER</t>
  </si>
  <si>
    <t>THERMOMETER (WALL MOUNTED)</t>
  </si>
  <si>
    <t>6 TO 16 AMPS LT SINGLE PHASE MCB</t>
  </si>
  <si>
    <t>160AMPS(10 KA TP) MOULDED CASE CIRCUIT B</t>
  </si>
  <si>
    <t>LT ROBUST POLE FUSE UNIT</t>
  </si>
  <si>
    <t>L.T. Distribution Box for 63 kVA X'mer (200 A, isolator &amp; 6 SP MCCB of 100 A)</t>
  </si>
  <si>
    <t>L.T. Distribution Box for 100 kVA X'mer (200 A, isolator &amp; 6 SP MCCB of 200 A)</t>
  </si>
  <si>
    <t>C-7(A-1)(III)</t>
  </si>
  <si>
    <t>DIGITAL TONG TESTER 3 1/2 DIGITAL LCD DI</t>
  </si>
  <si>
    <t>HAND TORCH 3 CELLED</t>
  </si>
  <si>
    <t>DRY CHEMICAL POWER FIRE</t>
  </si>
  <si>
    <t>RIVER SAND</t>
  </si>
  <si>
    <t>OIL IMMERSED 3 PHASE CTPT UNITS 200/5</t>
  </si>
  <si>
    <t>Power Transformer 1600 kVA</t>
  </si>
  <si>
    <t>33 kV line on PCC Pole / H-Beam poles with Raccoon conductor.</t>
  </si>
  <si>
    <t>33 kV DP Structure on PCC Pole / H-Beam Pole</t>
  </si>
  <si>
    <t>33 kV line on PCC Pole / H-Beam Pole with Dog conductor.</t>
  </si>
  <si>
    <t>33 kV line on H-Beam supports suspension type with Panther Conductor (Maximum span of 50 Mtrs)</t>
  </si>
  <si>
    <t xml:space="preserve">33 kV DP Structure on H-Beam supports with Panther Conductor </t>
  </si>
  <si>
    <t>33 kV MEDP Structure on PCC Pole / H-Beam Pole</t>
  </si>
  <si>
    <t>Danger Board</t>
  </si>
  <si>
    <t>Particulars</t>
  </si>
  <si>
    <t>Guarding</t>
  </si>
  <si>
    <t>Labour Charges</t>
  </si>
  <si>
    <t>11KV MULTICIRCUIT ONE TRANSFORMER &amp; ONE</t>
  </si>
  <si>
    <t>33KV MULTICIRCUIT ONE TRANSFORMER &amp; ONE</t>
  </si>
  <si>
    <t>FIBER GLASS DISCHARGE ROD</t>
  </si>
  <si>
    <t>PLIER COMBINATION SIDE CUTTING 200 MM</t>
  </si>
  <si>
    <t>SCREW DRIVER 250MM</t>
  </si>
  <si>
    <t>SCREW DRIVER 200MM</t>
  </si>
  <si>
    <t>RM (light)</t>
  </si>
  <si>
    <t>LT Capacitor for 25 kVA DT</t>
  </si>
  <si>
    <t>LT Capacitor for 63 kVA DT</t>
  </si>
  <si>
    <t>LT Capacitor for 100 kVA DT</t>
  </si>
  <si>
    <t>LT Capacitor for 200 kVA DT</t>
  </si>
  <si>
    <t>LT Capacitor for 315 kVA DT</t>
  </si>
  <si>
    <t>16 SQMM ALUMINIUM END TERMINALS (LUGS)</t>
  </si>
  <si>
    <t>50 SQMM ALUMINIUM END TERMINALS (LUGS)</t>
  </si>
  <si>
    <t>70 SQMM ALUMINIUM END TERMINALS (LUGS)</t>
  </si>
  <si>
    <t>95 SQMM ALUMINIUM END TERMINALS (LUGS)</t>
  </si>
  <si>
    <t>120 SQMM ALUMINIUM END TERMINALS (LUGS)</t>
  </si>
  <si>
    <t>150 SQMM ALUMINIUM END TERMINALS (LUGS)</t>
  </si>
  <si>
    <t>D-5(II)</t>
  </si>
  <si>
    <t>D-5(III)</t>
  </si>
  <si>
    <t>LAMPS: -Tube Light (40 Watts.)</t>
  </si>
  <si>
    <t>250 WATT SODIUM VAPOUR LAMP WITH HOLDER</t>
  </si>
  <si>
    <t>MERCURY VAPOUR LAMP 250 WATTS 230/250 VO</t>
  </si>
  <si>
    <t>S/ V HIGH PRESSURE LAMP 400W 230/250V</t>
  </si>
  <si>
    <t>CFL 20 WATTS LAMP</t>
  </si>
  <si>
    <t>1.6 MVA</t>
  </si>
  <si>
    <t>3.15 MVA</t>
  </si>
  <si>
    <t>5.0 MVA</t>
  </si>
  <si>
    <t>280 Kg; 9.1 Mtr long</t>
  </si>
  <si>
    <t>D Transformer Mounting 100x50 mm Channel</t>
  </si>
  <si>
    <t>Transformer Mounting with Belting for Addl. X-Arm</t>
  </si>
  <si>
    <t>I-Bolt - 16 mm</t>
  </si>
  <si>
    <t>Stay Set 16 mm (Painted) LT &amp; 11 KV</t>
  </si>
  <si>
    <t>Stay Set 20 mm (Painted)</t>
  </si>
  <si>
    <t>Stay Wire 7/4.00 mm (7/8 SWG)</t>
  </si>
  <si>
    <t>Stay Wire 7/3.15 mm (7/10 SWG)</t>
  </si>
  <si>
    <t>Earthing Rod 25 mm 1.2 Mtr.</t>
  </si>
  <si>
    <t>G.I.Wire 3.15 mm (10 SWG)</t>
  </si>
  <si>
    <t>33 kV Composite Disc insulator</t>
  </si>
  <si>
    <t>33 kV Pin insulator with Pin</t>
  </si>
  <si>
    <t>11 kV Pin insulator with Pin</t>
  </si>
  <si>
    <t>Strain H/W up to Rabbit.</t>
  </si>
  <si>
    <t>Strain H/W for Raccoon &amp; Dog.</t>
  </si>
  <si>
    <t>STREET LIGHT FITTING WITH TUBE LIGHT</t>
  </si>
  <si>
    <t>STREET LIGHT FITTING WITH CFL</t>
  </si>
  <si>
    <t>HPSV LAMP 150 WATT</t>
  </si>
  <si>
    <t>HPSV LAMP 250 WATT</t>
  </si>
  <si>
    <t>150 WATT METAL HALIDE HPSV FITTING</t>
  </si>
  <si>
    <t>250 WATT METAL HALIDE HPSV FITTING</t>
  </si>
  <si>
    <t>ENERGY METER ENECTRONIC 10-60 AMPS</t>
  </si>
  <si>
    <t>SUMMATION METER</t>
  </si>
  <si>
    <t>DC VOLT METER RANG -3V TO +5V</t>
  </si>
  <si>
    <t>STATIC ENERGY METER S.PH 2 WIRE 5-30 A</t>
  </si>
  <si>
    <t>Common Meter Reading Instrument CMRI</t>
  </si>
  <si>
    <t>HT TRIVECTOR METER 5 AMPS</t>
  </si>
  <si>
    <t>ELECTORNIC LTCT METER 3X4 100/5 A</t>
  </si>
  <si>
    <t>3PHASE 4WIRE HT TRIVECTOR STATIC (ELECTR</t>
  </si>
  <si>
    <t>3PHASE 4WIRE 1AMP HT TRIVECTOR STATIC (</t>
  </si>
  <si>
    <t>3PHASE 3WIRE 1AMP HT TRIVECTOR STATIC (</t>
  </si>
  <si>
    <t>TTB</t>
  </si>
  <si>
    <t>3 PHASE 4 WIRE LTCT OPERATED METER</t>
  </si>
  <si>
    <t>MULTIMETER ELECTRONIC DIGITAL</t>
  </si>
  <si>
    <t>MEGGER 1000VOLTS</t>
  </si>
  <si>
    <t>Poly Carbonate seals for meter</t>
  </si>
  <si>
    <t>Poly Carbonate seal double anker type</t>
  </si>
  <si>
    <t>LT Feeder Piller box for 1 phase 8 connection made of M.S.Sheet.</t>
  </si>
  <si>
    <t>B-2(i)</t>
  </si>
  <si>
    <t>B-2(ii)</t>
  </si>
  <si>
    <t>B-2(iii)</t>
  </si>
  <si>
    <t>Installation of additional transformer for parallel operation with one additional bay on 11 kV side</t>
  </si>
  <si>
    <t>B-3(i)</t>
  </si>
  <si>
    <t>B-3(ii)</t>
  </si>
  <si>
    <t>B-3(iii)</t>
  </si>
  <si>
    <t>350 Kg; 7.0 Mtr long</t>
  </si>
  <si>
    <t>100x50 mm</t>
  </si>
  <si>
    <t>75x40 mm</t>
  </si>
  <si>
    <t>65x8 mm</t>
  </si>
  <si>
    <t>50x6 mm</t>
  </si>
  <si>
    <t>65 x 65 x 6 mm</t>
  </si>
  <si>
    <t>50 x 50 x 6 mm</t>
  </si>
  <si>
    <t xml:space="preserve">Anchor clamp assembly (consisting of GI Pole Clamp, GI Flat type I-hook &amp; Nylon Cable tie). </t>
  </si>
  <si>
    <t>3 Phase, 5 Wire LT line on 125 x 70 mm, 9.3 Mtrs long R.S. Joist with 3 Rabbit &amp; 2 Weasel conductors (Span upto 45 Meters)</t>
  </si>
  <si>
    <t>500 kVA [CEA Design] (4 Star) Copper Wound Transformer</t>
  </si>
  <si>
    <t xml:space="preserve">12.1 kV,1815 kVAr, 3-Phase, 50 Hz, Outdoor Type, Capacitor bank having  step as  363 Kvar + 726 Kvar+ 726  Kvar 12.1 KV. </t>
  </si>
  <si>
    <t>C-18 (i)</t>
  </si>
  <si>
    <t xml:space="preserve">12.1 kV,1089 KVAr, 3-Phase, 50 Hz, Outdoor Type, Capacitor bank having  step as 363 Kvar + 726 Kvar 12.1 KV . </t>
  </si>
  <si>
    <t>C-18 (ii)</t>
  </si>
  <si>
    <t>PART-V, 11/0.4 kV Transformer S/s.</t>
  </si>
  <si>
    <t>A (A-1)</t>
  </si>
  <si>
    <t>25 kVA on 140 Kg, 8.0 Mtr long PCC poles</t>
  </si>
  <si>
    <t>C-7(A-1)(I)</t>
  </si>
  <si>
    <t>63 kVA on 140 Kg, 8.0 Mtr long PCC poles</t>
  </si>
  <si>
    <t>C-7(A-1)(II)</t>
  </si>
  <si>
    <t>100 kVA on 175 x 85 mm, 9.0 Mtr long reinforced R.S. Joist.</t>
  </si>
  <si>
    <t>(O)</t>
  </si>
  <si>
    <t xml:space="preserve">Laying of 1 Km 11 kV Line using </t>
  </si>
  <si>
    <t>3 Core 95 Sqmm underground cable</t>
  </si>
  <si>
    <t>C-15(I)</t>
  </si>
  <si>
    <t>3 Core 240 Sqmm  underground cable</t>
  </si>
  <si>
    <t>C-15(II)</t>
  </si>
  <si>
    <t>G.I.Strip 25x3 mm</t>
  </si>
  <si>
    <t>Double end spanner (6x7,8x9, 10x11,12x13,14x15,16x17,18x19, 20x22x,21x23,24x27,25x28,30x32)</t>
  </si>
  <si>
    <t>Hack saw frames + B185</t>
  </si>
  <si>
    <t>Hand Torch 5 cell</t>
  </si>
  <si>
    <t>Hand Torch 3 cell</t>
  </si>
  <si>
    <t>Discharge Rod</t>
  </si>
  <si>
    <t>Neon tester</t>
  </si>
  <si>
    <t>Screw driver 250 mm</t>
  </si>
  <si>
    <t>Screw driver 200 mm</t>
  </si>
  <si>
    <t>Screw driver 150 mm</t>
  </si>
  <si>
    <t>Hammer 8 Lbs (3629 gm)</t>
  </si>
  <si>
    <t>Hammer 2 Lbs (907 gm.)</t>
  </si>
  <si>
    <t>Allen keys set of 9 Pcs.(1.5mm; 2mm; 2.5mm;3mm; 4mm; 5mm; 6mm; 8mm; 10mm) Black finish, box packing</t>
  </si>
  <si>
    <t>11 kV Disc Insulator</t>
  </si>
  <si>
    <t>50 kVA (Copper winding)</t>
  </si>
  <si>
    <t>KL</t>
  </si>
  <si>
    <t>Incidental Charges @ 9% : -</t>
  </si>
  <si>
    <t xml:space="preserve">SUB TOTAL-1 </t>
  </si>
  <si>
    <t xml:space="preserve">SUB TOTAL-2 </t>
  </si>
  <si>
    <t>Transportation charges</t>
  </si>
  <si>
    <r>
      <t>33 kV VCB</t>
    </r>
    <r>
      <rPr>
        <sz val="10"/>
        <rFont val="Verdana"/>
        <family val="2"/>
      </rPr>
      <t xml:space="preserve"> without control panel &amp; CT's.</t>
    </r>
  </si>
  <si>
    <t>1 Feeder + 1 Transformer (Static Relays)</t>
  </si>
  <si>
    <r>
      <t xml:space="preserve">33 kV </t>
    </r>
    <r>
      <rPr>
        <sz val="10"/>
        <rFont val="Verdana"/>
        <family val="2"/>
      </rPr>
      <t>Transformer Control Panel (Static Relays)</t>
    </r>
  </si>
  <si>
    <t>HVDS system of 100 kVA parent DTR taking 3 KM LT to be converted</t>
  </si>
  <si>
    <t>D-8</t>
  </si>
  <si>
    <t>3Km</t>
  </si>
  <si>
    <t>HVDS system of 63 kVA parent DTR taking 2 KM LT to be converted</t>
  </si>
  <si>
    <t>D-9</t>
  </si>
  <si>
    <t>2Km</t>
  </si>
  <si>
    <t>Conversion of 1 Km LT line into 11 kV line</t>
  </si>
  <si>
    <t>D-10</t>
  </si>
  <si>
    <t>Qty.</t>
  </si>
  <si>
    <t>HDPE Pipe 200 mm ID; 240 mm OD</t>
  </si>
  <si>
    <t>75 x 75 x 6 mm</t>
  </si>
  <si>
    <t>1:1.5:3 Ratio</t>
  </si>
  <si>
    <t>1:3:6 Ratio</t>
  </si>
  <si>
    <t>0.02 Sq.inch (20 Sqmm Al. Eq.) (Squirrel)</t>
  </si>
  <si>
    <t>0.03 Sq.inch (30 Sqmm Al. Eq.) (Weasel)</t>
  </si>
  <si>
    <t>0.05 Sq.inch (50 Sqmm Al. Eq.) (Rabbit)</t>
  </si>
  <si>
    <t>0.075 Sq.inch (80 Sqmm Al. Eq.) (Raccoon)</t>
  </si>
  <si>
    <t>0.10 Sq.inch (100 Sqmm Al. Eq.) (Dog)</t>
  </si>
  <si>
    <t>0.2 Sq inch ( 130 Sqmm Al.Eq.)(Panther)</t>
  </si>
  <si>
    <t>0.02 Sq.inch (20/22 Sqmm Al. Eq.) (Squirrel)</t>
  </si>
  <si>
    <t>0.03 Sq.inch (30/34 Sqmm Al. Eq.) (Weasel)</t>
  </si>
  <si>
    <t>0.05 Sq.inch (50/55 Sqmm Al. Eq.) (Rabbit)</t>
  </si>
  <si>
    <t xml:space="preserve">Disc insulator </t>
  </si>
  <si>
    <t>11 kV Pin insulator</t>
  </si>
  <si>
    <t xml:space="preserve">33 kV Pin insulator </t>
  </si>
  <si>
    <t>Earthing coil (Coil of 115 turns of 50 mm dia. &amp; 2.5 Mtrs lead of 4.0 mm GI wire)</t>
  </si>
  <si>
    <t>Barbed wire</t>
  </si>
  <si>
    <t>52 kgs per mtr/105 lbs yard</t>
  </si>
  <si>
    <t>MT</t>
  </si>
  <si>
    <t>60 kgs per mtr</t>
  </si>
  <si>
    <t xml:space="preserve"> 37.1 Kg/Mtr.; 13 Mtr. Length</t>
  </si>
  <si>
    <t xml:space="preserve"> 37.1 Kg/Mtr.; 11 Mtr. Length</t>
  </si>
  <si>
    <t>175 x 85 mm</t>
  </si>
  <si>
    <t>125 x 70 mm</t>
  </si>
  <si>
    <t>140 Kg; 8.0 Mtr long</t>
  </si>
  <si>
    <t>Km.</t>
  </si>
  <si>
    <t>16 Sq.mm.</t>
  </si>
  <si>
    <t>KM</t>
  </si>
  <si>
    <t>50 Sq.mm.</t>
  </si>
  <si>
    <t>70 Sq.mm</t>
  </si>
  <si>
    <t>150 Sq.mm</t>
  </si>
  <si>
    <t>300 Sq.mm</t>
  </si>
  <si>
    <t>400 Sq.mm</t>
  </si>
  <si>
    <t>2.5 Sqmm.</t>
  </si>
  <si>
    <t>Per Mtr.</t>
  </si>
  <si>
    <t>6.0 Sqmm.</t>
  </si>
  <si>
    <t>10 Sq.mm.</t>
  </si>
  <si>
    <t>25 Sq.mm.</t>
  </si>
  <si>
    <t>120 Sq.mm</t>
  </si>
  <si>
    <t>240 Sq.mm</t>
  </si>
  <si>
    <t>3x95 Sq.mm</t>
  </si>
  <si>
    <t>3x150 Sq.mm</t>
  </si>
  <si>
    <t>3x240 Sq. mm</t>
  </si>
  <si>
    <t>3x400 Sq. mm</t>
  </si>
  <si>
    <t>Battery charger</t>
  </si>
  <si>
    <t>Battery (Low Maintenance SAN controller)</t>
  </si>
  <si>
    <t>CFL 7 Watts</t>
  </si>
  <si>
    <t>CFL 11 Watts</t>
  </si>
  <si>
    <t xml:space="preserve">16 kVA (4 Star) Aluminium Wound </t>
  </si>
  <si>
    <t xml:space="preserve">25 kVA (4 Star) Aluminium Wound </t>
  </si>
  <si>
    <t xml:space="preserve">63 kVA (4 Star) Aluminium Wound </t>
  </si>
  <si>
    <t xml:space="preserve">100 kVA (4 Star) Aluminium Wound </t>
  </si>
  <si>
    <t xml:space="preserve">200 kVA (4 Star) Aluminium Wound </t>
  </si>
  <si>
    <t>CFL 15 Watts</t>
  </si>
  <si>
    <t>CFL 20 Watts</t>
  </si>
  <si>
    <t>CFL 23 Watts</t>
  </si>
  <si>
    <t xml:space="preserve">125 Watt Mercury Vapour </t>
  </si>
  <si>
    <t xml:space="preserve">250 Watt Mercury Vapour </t>
  </si>
  <si>
    <t xml:space="preserve">250 Watt Metal Halide  </t>
  </si>
  <si>
    <t xml:space="preserve">250 Watt Sodium Vapour </t>
  </si>
  <si>
    <t>Halogen Filament (1000 Watts)</t>
  </si>
  <si>
    <t>Tube Light Rod (T5 type)</t>
  </si>
  <si>
    <t>Search Light Unit with 1000 Watt Halogen Lamp.</t>
  </si>
  <si>
    <t xml:space="preserve">Street Light fitting with tube light </t>
  </si>
  <si>
    <t>Street Light fitting with CFL</t>
  </si>
  <si>
    <t>HPSV lamp 150 watt</t>
  </si>
  <si>
    <t>HPSV Choke 250 watt</t>
  </si>
  <si>
    <t>150 Watt metal halide fitting / HPSV fitting</t>
  </si>
  <si>
    <t>250 Watt metal halide fitting / HPSV fitting</t>
  </si>
  <si>
    <t>Mercury vapour lamp for Gate lighting 2 Nos</t>
  </si>
  <si>
    <t>Aluminium binding wire and tape.</t>
  </si>
  <si>
    <t>Aluminium bobbin.</t>
  </si>
  <si>
    <t>Cable marker for U/G cable</t>
  </si>
  <si>
    <r>
      <t>33 kV</t>
    </r>
    <r>
      <rPr>
        <sz val="10"/>
        <rFont val="Verdana"/>
        <family val="2"/>
      </rPr>
      <t xml:space="preserve"> feeder control panel (Static Relays).</t>
    </r>
  </si>
  <si>
    <t>11 kV Sectionalizer.</t>
  </si>
  <si>
    <t>11 kV ; 600 Amps.</t>
  </si>
  <si>
    <t>33 kV ; 600 Amps with earth switch.</t>
  </si>
  <si>
    <t>Jointing arrangement of HDPE Pipe</t>
  </si>
  <si>
    <t>Caping of HDPE Pipe on both end of pipe with concreting and bricks work.</t>
  </si>
  <si>
    <t>DISTRIBUTION BOX 1 PH 9 CONNECTOR</t>
  </si>
  <si>
    <t>3 Core 400 Sqmm underground cable</t>
  </si>
  <si>
    <t>C-15(III)</t>
  </si>
  <si>
    <t>(P)</t>
  </si>
  <si>
    <t>D.T. Capacitors on existing DTR's (Retained &amp; shifted)</t>
  </si>
  <si>
    <t>C-16</t>
  </si>
  <si>
    <t>C-16 (i)</t>
  </si>
  <si>
    <t>C-16 (ii)</t>
  </si>
  <si>
    <t>C-16 (iii)</t>
  </si>
  <si>
    <t>C-16 (iv)</t>
  </si>
  <si>
    <t>C-16 (v)</t>
  </si>
  <si>
    <t>(Q)</t>
  </si>
  <si>
    <t>37.1 Kg /Mtrs 11 Mtrs long H-Beam supports</t>
  </si>
  <si>
    <t>C-17 (i)</t>
  </si>
  <si>
    <t>(R)</t>
  </si>
  <si>
    <t>New Automated 11 kV Capacitor Bank at 33/11 kV Sub-stations</t>
  </si>
  <si>
    <t>LT Feeder Piller box for 1 phase 12 connection made of M.S.Sheet.</t>
  </si>
  <si>
    <t xml:space="preserve">LT Feeder Piller box for 3 phase 4 connection made of M.S.Sheet. </t>
  </si>
  <si>
    <t>LT Feeder Piller box for 3 phase 8 connection made of M.S.Sheet.</t>
  </si>
  <si>
    <t>L.T.Line Spacers</t>
  </si>
  <si>
    <t>GSM Modem</t>
  </si>
  <si>
    <t>10 Sq mm</t>
  </si>
  <si>
    <t>16 Sq mm</t>
  </si>
  <si>
    <t>25 Sq mm</t>
  </si>
  <si>
    <t>32 Sq mm</t>
  </si>
  <si>
    <t>50 Sq mm</t>
  </si>
  <si>
    <t>70 Sq mm</t>
  </si>
  <si>
    <t>95 Sq mm</t>
  </si>
  <si>
    <t>120 Sq mm</t>
  </si>
  <si>
    <t>150 Sq mm</t>
  </si>
  <si>
    <t>Additional (Mid Span) Poles for new 11 kV Line with Raccoon Conductor</t>
  </si>
  <si>
    <t>C-9(A)</t>
  </si>
  <si>
    <t>(M)</t>
  </si>
  <si>
    <t>C-12</t>
  </si>
  <si>
    <t>(N)</t>
  </si>
  <si>
    <t xml:space="preserve">11 kV under ground cable Road crossing for 50 mtr length, under 2.5 mtr deep for ground level </t>
  </si>
  <si>
    <t>C-12 (A)</t>
  </si>
  <si>
    <t>Installation of 33 kV VCB</t>
  </si>
  <si>
    <t>B-6</t>
  </si>
  <si>
    <t>Augmentation of Power Transformer</t>
  </si>
  <si>
    <t>B-8(i)</t>
  </si>
  <si>
    <t>B-8(ii)</t>
  </si>
  <si>
    <t>B-8(iii)</t>
  </si>
  <si>
    <t>Installation of 1.6 MVA 33/11 kV Sub-Station ON LINE</t>
  </si>
  <si>
    <t>B-9</t>
  </si>
  <si>
    <t>PART-III, 11 kV LINES AND  D.P.STRUCTURES</t>
  </si>
  <si>
    <t xml:space="preserve">11 kV line on 140 Kg 8.0 Mtr long PCC poles with </t>
  </si>
  <si>
    <t>Rabbit conductor</t>
  </si>
  <si>
    <t>C-1(I)</t>
  </si>
  <si>
    <t>Weasel conductor</t>
  </si>
  <si>
    <t>C-1(II)</t>
  </si>
  <si>
    <t>11 kV DP structure on 140 Kg, 8.0 Mtr long PCC poles</t>
  </si>
  <si>
    <t>C-2</t>
  </si>
  <si>
    <t>PART-IV, 11 kV LINES AND  D.P.STRUCTURES ON RAIL &amp; H-BEAM</t>
  </si>
  <si>
    <t xml:space="preserve">11 kV DP structure on RS Joist 175X85 mm 11.0 Mtr. long </t>
  </si>
  <si>
    <t>Using 1100 Volt grade AB Cable 3x25+1x16+1x25</t>
  </si>
  <si>
    <t>Route &amp; joint indicating stone with M.S. anchor rod</t>
  </si>
  <si>
    <t>Cable covering tiles 250x250x40 mm</t>
  </si>
  <si>
    <t>(ii) G.I. Wire 8 SWG</t>
  </si>
  <si>
    <t>1.6 to 3.15 MVA</t>
  </si>
  <si>
    <t>3.15 to 5.0 MVA without 33 kV VCB</t>
  </si>
  <si>
    <t>11 kV Polymeric Pin Insulator with Pin</t>
  </si>
  <si>
    <t>150 Sq.mm, 3.5 Core</t>
  </si>
  <si>
    <t>300 Sq.mm, 3.5 Core</t>
  </si>
  <si>
    <t>400 Sq.mm, 3.5 Core</t>
  </si>
  <si>
    <t>3x400 Sq.mm.</t>
  </si>
  <si>
    <t>95 Sq.mm</t>
  </si>
  <si>
    <t>Suspension H/W suitable for Panther Conductor.</t>
  </si>
  <si>
    <t>Three Phase, 10-60 Amps. with poly carbonate Meter Box</t>
  </si>
  <si>
    <t>CT operated electronic static meters 100/5 Amp. With data storage.</t>
  </si>
  <si>
    <t>CT operated electronic static meters with DLMS.</t>
  </si>
  <si>
    <t xml:space="preserve">On 280 Kg 9.1 Mtrs long PCC poles </t>
  </si>
  <si>
    <t>A-1(i)</t>
  </si>
  <si>
    <t>LT 3 phase 4 Wire Aerial Bunched Cable of Size 3X16+1x25</t>
  </si>
  <si>
    <t>70 Sq.mm, 3.5 Core</t>
  </si>
  <si>
    <t>Total Hike in %</t>
  </si>
  <si>
    <t>Service Ring</t>
  </si>
  <si>
    <t xml:space="preserve">Straight through joints </t>
  </si>
  <si>
    <t>End cap for 50/70 Sq.mm</t>
  </si>
  <si>
    <t>SHACKEL INSULATORS 90 x 75 mm.</t>
  </si>
  <si>
    <t>Stay insulators.</t>
  </si>
  <si>
    <t>GI Pin for 11 KV Pin insulator</t>
  </si>
  <si>
    <t>GI Pin for 33 KV Pin insulator</t>
  </si>
  <si>
    <t>Aluminium Bobbin.</t>
  </si>
  <si>
    <t>Pair</t>
  </si>
  <si>
    <t xml:space="preserve">Rate </t>
  </si>
  <si>
    <t>Amount</t>
  </si>
  <si>
    <t>Set</t>
  </si>
  <si>
    <t>No.</t>
  </si>
  <si>
    <t>Mtr.</t>
  </si>
  <si>
    <t>Ltr.</t>
  </si>
  <si>
    <t>Static 5.0-30 Amps Pilfer proof with transparent poly carbonate meter box.</t>
  </si>
  <si>
    <t xml:space="preserve">  70 Sqmm.</t>
  </si>
  <si>
    <t>120 Sq.mm.</t>
  </si>
  <si>
    <t xml:space="preserve">400 Sqmm. </t>
  </si>
  <si>
    <t>3x95 Sq.mm.</t>
  </si>
  <si>
    <t>3x150 Sq.mm.</t>
  </si>
  <si>
    <t>3x185 Sq.mm.</t>
  </si>
  <si>
    <t>3x240 Sq.mm.</t>
  </si>
  <si>
    <t>33 kV AB Cable Straight thru' joint kit suitable for 35-70 sqmm</t>
  </si>
  <si>
    <t>33 kV AB Cable Straight thru' joint kit suitable for 95-120 sqmm</t>
  </si>
  <si>
    <t>33 kV ABC Termination kit 35-70 sqmm</t>
  </si>
  <si>
    <t>33 kV ABC Termination kit 95-120 sqmm</t>
  </si>
  <si>
    <t>DISTRIBUTION BOX 3 PH 4 CONNECTOR</t>
  </si>
  <si>
    <t>11 kV Post Insulator</t>
  </si>
  <si>
    <t>33 kV Post Insulator</t>
  </si>
  <si>
    <t>90 x 75 mm.</t>
  </si>
  <si>
    <t>65 x 50 mm.</t>
  </si>
  <si>
    <t>Stay insulator</t>
  </si>
  <si>
    <t>Split insulator</t>
  </si>
  <si>
    <t>Files of sizes</t>
  </si>
  <si>
    <t>Safety belts</t>
  </si>
  <si>
    <t>Safety helmets</t>
  </si>
  <si>
    <t>POLYCARBONATE SEAL</t>
  </si>
  <si>
    <t>METTING RUBBER 1900X1800X12MM</t>
  </si>
  <si>
    <t>TRANSFORMER OIL In Tanker/barrel</t>
  </si>
  <si>
    <t>POLY CORBONATE SEAL DOUBLE ANKER TYPE</t>
  </si>
  <si>
    <t>HDPE PIPE 200MM ID; 240MM OD</t>
  </si>
  <si>
    <t>JOINTING ARRANGEMENT OF HDPE PIPE</t>
  </si>
  <si>
    <t>30 Volt 100 AH lead acid battery charger</t>
  </si>
  <si>
    <t>PVC INSULATION TAPES 19 MM WIDE AND IN R</t>
  </si>
  <si>
    <t>11 kV Out door yard extension for additional bay with circuit breaker.</t>
  </si>
  <si>
    <t>B-4</t>
  </si>
  <si>
    <t>33 kV Out door yard extension for additional bay without circuit breaker.</t>
  </si>
  <si>
    <t>B-5</t>
  </si>
  <si>
    <t xml:space="preserve">On H-Beam 11 meter long  </t>
  </si>
  <si>
    <t>Additional (Mid span) Poles for 11 kV Line on H-Beam</t>
  </si>
  <si>
    <t>C-3 (A)</t>
  </si>
  <si>
    <t>C-3 (B)</t>
  </si>
  <si>
    <t>Augmentation of 11 kV Line from Weasel to Raccoon Conductor</t>
  </si>
  <si>
    <t>C-3 (C)</t>
  </si>
  <si>
    <t>Augmentation of 11 kV Line from Weasel to Rabbit Conductor</t>
  </si>
  <si>
    <t>C-3 (D)</t>
  </si>
  <si>
    <t>11 kV Overhead XLPE Cable Line on H-Beam Pole with average span 30 Mtrs.</t>
  </si>
  <si>
    <t>C-3 (E)</t>
  </si>
  <si>
    <t xml:space="preserve">11 kV DP structure on  </t>
  </si>
  <si>
    <t>H-Beam 11 meter long</t>
  </si>
  <si>
    <t>11 kV line on RS Joist (175X85 mm) 11.0 Meters long  with</t>
  </si>
  <si>
    <t>C-5(I)</t>
  </si>
  <si>
    <t xml:space="preserve"> Weasel conductor</t>
  </si>
  <si>
    <t>C-5(II)</t>
  </si>
  <si>
    <t>C-6</t>
  </si>
  <si>
    <t>C-8(I)</t>
  </si>
  <si>
    <t>C-8(II)</t>
  </si>
  <si>
    <t xml:space="preserve">11 kV line on H-Beam (152x152 mm) 13 meter long with </t>
  </si>
  <si>
    <t>Raccoon conductor</t>
  </si>
  <si>
    <t>C-9(I)</t>
  </si>
  <si>
    <t>C-9(II)</t>
  </si>
  <si>
    <t>Locally fabricated - 3 Phase fuse units (Robust fuse for circuit base).</t>
  </si>
  <si>
    <r>
      <t>11 kV Kiosk VCB</t>
    </r>
    <r>
      <rPr>
        <sz val="10"/>
        <rFont val="Verdana"/>
        <family val="2"/>
      </rPr>
      <t xml:space="preserve"> </t>
    </r>
  </si>
  <si>
    <r>
      <t>11 kV VCB</t>
    </r>
    <r>
      <rPr>
        <sz val="10"/>
        <rFont val="Verdana"/>
        <family val="2"/>
      </rPr>
      <t xml:space="preserve"> without control panel &amp; CT's.</t>
    </r>
  </si>
  <si>
    <t>Feeder Control (Static Relays)</t>
  </si>
  <si>
    <t>Transformer Control (Static Relays)</t>
  </si>
  <si>
    <t>2 Feeder Control (Static Relays)</t>
  </si>
  <si>
    <t>1 Transformer+1 Feeder (Static Relays)</t>
  </si>
  <si>
    <t>Meter modernisation- Replacing the existing meters with electronic meters which are highly capable of improving billing efficiency.</t>
  </si>
  <si>
    <t>Box spanners (of size 32Af, 27A/F, 30 A/F&amp; tommy Bar)</t>
  </si>
  <si>
    <t>Tong tester</t>
  </si>
  <si>
    <t>D.C.Volt meter range - 3V to + 5V</t>
  </si>
  <si>
    <t>M.S.Pipe 200 mm dia with collars</t>
  </si>
  <si>
    <t>River sand</t>
  </si>
  <si>
    <t>Cement in 50 kg bags</t>
  </si>
  <si>
    <t>Bags</t>
  </si>
  <si>
    <t>Bimetallic clamp for Distribution Transformer (HT)</t>
  </si>
  <si>
    <t>Bimetallic clamp for Distribution Transformer (LT)</t>
  </si>
  <si>
    <t>T-Clamp for Dog Conductor.</t>
  </si>
  <si>
    <t>T-Clamp for Raccoon Conductor.</t>
  </si>
  <si>
    <t>T-Clamp for Panther Conductor.</t>
  </si>
  <si>
    <t>Jointing sleeves for Weasel, Squirrel &amp; Rabbit Conductor.</t>
  </si>
  <si>
    <t>Jointing sleeves for Panther Conductor.</t>
  </si>
  <si>
    <t>Set.</t>
  </si>
  <si>
    <t>Red Oxide Paint</t>
  </si>
  <si>
    <t>T.W. plate 300x300x25 mm with 20 mm dia holes at the corners and coated with two coats of varnish on one side/SMC board</t>
  </si>
  <si>
    <t>Tension hardware suitable for Panther Conductor.</t>
  </si>
  <si>
    <t>For 90 x 75 mm insulators</t>
  </si>
  <si>
    <t>For 65 x 50 mm insulators</t>
  </si>
  <si>
    <t>GI Pin for 11 kV Pin insulator.</t>
  </si>
  <si>
    <t>GI Pin for 33 kV Pin insulator.</t>
  </si>
  <si>
    <t xml:space="preserve">25 mm dia 2500 mm long GI rod earth electrodes </t>
  </si>
  <si>
    <t>Qnty.</t>
  </si>
  <si>
    <t>H.R.C. FUSE UNITS: -200 Amps.</t>
  </si>
  <si>
    <t>H.R.C. FUSE UNITS: -300 Amps.</t>
  </si>
  <si>
    <t>F WIRE TINNED COPER 22 SWG24 AMP.RATING</t>
  </si>
  <si>
    <t>FUSE WIRE TINNED COPPER 20 SWG FOR 34 AM</t>
  </si>
  <si>
    <t>FUSE WIRE TINNED COPPER 18 SWG FOR 45 AM</t>
  </si>
  <si>
    <t>FUSE WIRE TINNED COPPER 16 SWG FOR 73 AM</t>
  </si>
  <si>
    <t>FUSE WIRE TINNED COPPER 14 SWG FOR 102 A</t>
  </si>
  <si>
    <t>FUSE WIRE TINNED COPPER 12 SWG</t>
  </si>
  <si>
    <t>Panel lndication lamps</t>
  </si>
  <si>
    <t>33 kV under ground cable Road crossing for 50 mtr length, under 2.5 mtr deep for ground level single feeder line</t>
  </si>
  <si>
    <t>A-6 (A)</t>
  </si>
  <si>
    <t>50 Mtr</t>
  </si>
  <si>
    <t>(K)</t>
  </si>
  <si>
    <t>11 kV line on H-Beam / PCC Pole with Rabbit conductor</t>
  </si>
  <si>
    <t>C-3(i)</t>
  </si>
  <si>
    <t>C-3(ii)</t>
  </si>
  <si>
    <t>C-4(i)</t>
  </si>
  <si>
    <t>C-4(ii)</t>
  </si>
  <si>
    <t xml:space="preserve">11 kV line on PCC pole </t>
  </si>
  <si>
    <t xml:space="preserve">11 kV MEDP Structure on H-Beam Pole </t>
  </si>
  <si>
    <t>33 kV Four Pole structure on PCC / H-Beam Pole</t>
  </si>
  <si>
    <t>Ring Spanners  (6x7,8x9, 10x11,12x13,14x15,16x17,18x19, 20x22x,21x23,24x27,25x28,30x32)</t>
  </si>
  <si>
    <t xml:space="preserve">Tube Spanners </t>
  </si>
  <si>
    <t>Pipe Wrench 24 inches size</t>
  </si>
  <si>
    <t>Pipe Wrench 18 inches size</t>
  </si>
  <si>
    <t xml:space="preserve">3.15 MVA, 33/11 kV S/s expandable to 2 x 3.15 MVA with control room </t>
  </si>
  <si>
    <t>B-1(ii)</t>
  </si>
  <si>
    <t xml:space="preserve">5 MVA, 33/11 kV S/s expandable to 2 x 5 MVA with control room </t>
  </si>
  <si>
    <t>B-1(iii)</t>
  </si>
  <si>
    <t>Conversion of 1 Km 3 Phase 5 wire LT line into 11 kV line</t>
  </si>
  <si>
    <t>D-13</t>
  </si>
  <si>
    <t>(T)</t>
  </si>
  <si>
    <t>Last span cabling of 33 kV H.T. Connection</t>
  </si>
  <si>
    <t>A-7</t>
  </si>
  <si>
    <t>With 3x185 sq.mm AB XLPE Cable</t>
  </si>
  <si>
    <t>A-7(i)</t>
  </si>
  <si>
    <t>With 3x240 sq.mm AB XLPE Cable</t>
  </si>
  <si>
    <t>A-7(ii)</t>
  </si>
  <si>
    <t>(L)</t>
  </si>
  <si>
    <t>A-8 (i)</t>
  </si>
  <si>
    <t>A-8 (ii)</t>
  </si>
  <si>
    <t>G.I. bend 200 mm</t>
  </si>
  <si>
    <r>
      <t>Fire fighting equipments  CO</t>
    </r>
    <r>
      <rPr>
        <vertAlign val="subscript"/>
        <sz val="10"/>
        <rFont val="Verdana"/>
        <family val="2"/>
      </rPr>
      <t>2</t>
    </r>
    <r>
      <rPr>
        <sz val="10"/>
        <rFont val="Verdana"/>
        <family val="2"/>
      </rPr>
      <t xml:space="preserve"> fire extinguisher of 2 Kg Capacity)  </t>
    </r>
  </si>
  <si>
    <t>CURRENT TRANSFORMER 100-50/1/1A SUITABLE</t>
  </si>
  <si>
    <t>C.T. 132KV 200-100/1/1A SUITABLE</t>
  </si>
  <si>
    <t>CURRENT X-MER 300-150/1/1A - 132KV</t>
  </si>
  <si>
    <t>OIL IMM 3 PH CTPT UNITS 11 KV 7.5/5 A</t>
  </si>
  <si>
    <t>33/11 kV Power Transformer</t>
  </si>
  <si>
    <t>3 phase, 5 wire LT line on 140 Kg, 8.0 Mtr long PCC poles with following conductors</t>
  </si>
  <si>
    <t>4 Rabbit + 1 Squirrel</t>
  </si>
  <si>
    <t>D-1(I)</t>
  </si>
  <si>
    <t>3 Rabbit + 2 Squirrel</t>
  </si>
  <si>
    <t>D-1(II)</t>
  </si>
  <si>
    <t>4 Weasel + 1 Squirrel</t>
  </si>
  <si>
    <t>D-1(III)</t>
  </si>
  <si>
    <t>T.W. Meter Board, 300x300x75 mm, coated with varnish/SMC board</t>
  </si>
  <si>
    <t>Roll</t>
  </si>
  <si>
    <t>Schedule for 33 kV Underground Cable crossing under Railway Track / Road for 60 Mtr. Long Corridor / Route Length of HDPE Pipe, under 2.5 Mtr. Deep from Ground Level Single Feeder Line Using Open Trench Method.</t>
  </si>
  <si>
    <t>A-10 (i)</t>
  </si>
  <si>
    <t>A-10(i)</t>
  </si>
  <si>
    <t>A-10(ii)</t>
  </si>
  <si>
    <t>--</t>
  </si>
  <si>
    <t>Cmt</t>
  </si>
  <si>
    <t xml:space="preserve">Red Oxide Paint </t>
  </si>
  <si>
    <t>Ltr</t>
  </si>
  <si>
    <t xml:space="preserve">Aluminium Paint </t>
  </si>
  <si>
    <t>Kg</t>
  </si>
  <si>
    <t>M.S. Nuts and Bolts</t>
  </si>
  <si>
    <t>ii</t>
  </si>
  <si>
    <t>1</t>
  </si>
  <si>
    <t>2</t>
  </si>
  <si>
    <t>3</t>
  </si>
  <si>
    <t>6</t>
  </si>
  <si>
    <t>M.S.Nuts and Bolts</t>
  </si>
  <si>
    <t>DISTRIBUTION BOX FOR MCCB TYPE 63 KVA TR</t>
  </si>
  <si>
    <t>DISTRIBUTION BOX FOR MSEB TYPE 100 KVA T</t>
  </si>
  <si>
    <t>DISTRIBUTION BOX FOR 200KVA TRANSFORMER</t>
  </si>
  <si>
    <t>DISTRIBUTION BOX FOR 315 KVA XMER WITH F</t>
  </si>
  <si>
    <t>33KV CONTROL &amp; RELAY PANEL- FEEDER CONTR</t>
  </si>
  <si>
    <t>C-13(III)</t>
  </si>
  <si>
    <t>Plinth mounted 11/.4 kV Outdoor Sub-station</t>
  </si>
  <si>
    <t>C-14(I)</t>
  </si>
  <si>
    <t>C-14(II)</t>
  </si>
  <si>
    <t>C-14(III)</t>
  </si>
  <si>
    <t>PART-VI,  L.T. LINES</t>
  </si>
  <si>
    <t>Each</t>
  </si>
  <si>
    <t>Last span cabling of 33 kV line using Covered  Conductor of size</t>
  </si>
  <si>
    <t xml:space="preserve">70 sq.mm (207 Amp) </t>
  </si>
  <si>
    <t>99 sq.mm (258 Amp)</t>
  </si>
  <si>
    <t>A-9 (i)</t>
  </si>
  <si>
    <t>A-9 (ii)</t>
  </si>
  <si>
    <t>Cement</t>
  </si>
  <si>
    <t>5 Squirrel</t>
  </si>
  <si>
    <t>D-1(V)</t>
  </si>
  <si>
    <t>3 phase, 4 wire LT line on 140 Kg, 8.0 Mtr long PCC poles with following conductors</t>
  </si>
  <si>
    <t>3 Rabbit + 1 Squirrel</t>
  </si>
  <si>
    <t>D-2(I)</t>
  </si>
  <si>
    <t>3 Weasel + 1 Squirrel</t>
  </si>
  <si>
    <t>D-2(II)</t>
  </si>
  <si>
    <t>4 Squirrel</t>
  </si>
  <si>
    <t>D-2(III)</t>
  </si>
  <si>
    <t>1 phase, 3 wire LT line on 140 Kg, 8.0 Mtr long PCC poles with following conductors</t>
  </si>
  <si>
    <t>3 Weasel + 2 Squirrel</t>
  </si>
  <si>
    <t>D-1(IV)</t>
  </si>
  <si>
    <t>CT/PT UNIT 11KV/110 V 10/5 A OIL IMMERSE</t>
  </si>
  <si>
    <t>OIL IMM 3 PH CTPT UNITS 11 KV 15/5 A</t>
  </si>
  <si>
    <t>OIL IMM 3 PH CTPT UNITS 11 KV 300-150/5A</t>
  </si>
  <si>
    <t>OIL IMM 3 PH CTPT UNITS 11 KV 25/5 A</t>
  </si>
  <si>
    <t>OIL IMM 3 PH CTPT UNITS 11 KV 75/5 A</t>
  </si>
  <si>
    <t>OIL IMM 3 PH CTPT UNITS 11 KV 200-100/5A</t>
  </si>
  <si>
    <t>OIL IMMERSED 3 PH CTPT UNITS-11 KV 50/5A</t>
  </si>
  <si>
    <t>OIL IMM 3 PH CTPT UNITS 33 KV - 20/5 A</t>
  </si>
  <si>
    <t>OIL IMM 3 PH CTPT UNITS 33 KV-200-100/5A</t>
  </si>
  <si>
    <t>OIL IMM 3 PH CTPT UNITS 33 KV - 5/5A</t>
  </si>
  <si>
    <t>OIL IMM 3 PH CTPT UNITS 33 KV - 10/5 A</t>
  </si>
  <si>
    <t>33 kV Polymer Lightning Arrestor</t>
  </si>
  <si>
    <t>11 kV Polymer Lightning Arrestor</t>
  </si>
  <si>
    <t>RUBBER HAND GLOVES</t>
  </si>
  <si>
    <t>CO2 TYPE EXTINGUISHER ,2 KG CAPACITY</t>
  </si>
  <si>
    <t>RAIN COATS WITH HOODS</t>
  </si>
  <si>
    <t>GUM BOOTS</t>
  </si>
  <si>
    <t>SILICA GEL</t>
  </si>
  <si>
    <t>Distribution Box on existing LT Lines for Service Connections.</t>
  </si>
  <si>
    <t>D-14 (i)</t>
  </si>
  <si>
    <t>D-14 (ii)</t>
  </si>
  <si>
    <t>(U)</t>
  </si>
  <si>
    <t>1 phase 2 Wire line on 140 kg 8.0 Mtr.long PCC poles with 1100 V grade AB XLPE Cable 1x16+1x25 sq.mm.</t>
  </si>
  <si>
    <t xml:space="preserve">D-15 </t>
  </si>
  <si>
    <t>PART-VII,  METERING</t>
  </si>
  <si>
    <t>Metering of 11/0.4 kV Distribution X'mer</t>
  </si>
  <si>
    <t>E-1(I)</t>
  </si>
  <si>
    <t>E-1(II)</t>
  </si>
  <si>
    <t>E-1(III)</t>
  </si>
  <si>
    <t>E-1(IV)</t>
  </si>
  <si>
    <t>(i)</t>
  </si>
  <si>
    <t>LT 3 phase 5 Wire Aerial Bunched Cable of Size 3X50+1X25+1x35</t>
  </si>
  <si>
    <t>LT 3 phase 5 Wire Aerial Bunched Cable of Size 3X70+1x16+1x50</t>
  </si>
  <si>
    <t>Numerical Poly Carbonate seals</t>
  </si>
  <si>
    <t>33 kV Polymer Disc Insulator (45 kN)</t>
  </si>
  <si>
    <t>Mtr</t>
  </si>
  <si>
    <t>kg</t>
  </si>
  <si>
    <t>*</t>
  </si>
  <si>
    <t>RM</t>
  </si>
  <si>
    <t>Strain Plate (65x8 mm) for 33 kV</t>
  </si>
  <si>
    <t xml:space="preserve">Fire fighting equipments (dry chemical powder type 5 Kg capacity) </t>
  </si>
  <si>
    <t xml:space="preserve">TOTAL COST </t>
  </si>
  <si>
    <t xml:space="preserve">On 365 Kg 11 Mtrs long PCC poles </t>
  </si>
  <si>
    <t>Additional (Mid Span) Pole for 33 kV Line</t>
  </si>
  <si>
    <t>A-3 (B)(i)</t>
  </si>
  <si>
    <t>A-4 (i)</t>
  </si>
  <si>
    <t>Using H-Beam 152x152 mm, 37.1Kg/mtr 13 Mtrs long supports.</t>
  </si>
  <si>
    <t xml:space="preserve">11 kV Line on A.B.Cable </t>
  </si>
  <si>
    <t>Using H-Beam 152x152 mm, 37.1Kg/mtr 11 Mtrs long supports.</t>
  </si>
  <si>
    <t>With 11 kV  3 phase Aerial Bunched Cable 3x35+35 sqmm</t>
  </si>
  <si>
    <t>33 kV ABC Termination kit 185 sqmm</t>
  </si>
  <si>
    <t>Nos.</t>
  </si>
  <si>
    <t>L.T.Distribution Box for 500 kVA X'mer (800 A, isolator &amp; 12 SP MCCB of 150 A)</t>
  </si>
  <si>
    <t>33 kV Single Phase PT's (Oil filled)</t>
  </si>
  <si>
    <t>132 kV P.T.</t>
  </si>
  <si>
    <t>220 kV P.T.</t>
  </si>
  <si>
    <t>TRANSFORMER 100KVA 11/0.43KV FOUR STAR</t>
  </si>
  <si>
    <t>TRANSFORMER 200KVA 11/0.4KV FOUR STAR</t>
  </si>
  <si>
    <t>XMER 315KVA 11/0.43KV CEA REG. CU WOUND</t>
  </si>
  <si>
    <t>a</t>
  </si>
  <si>
    <t>b</t>
  </si>
  <si>
    <t>TRANSFORMER 33/11KV 3.15 MVA POWER</t>
  </si>
  <si>
    <t>TRANSFORMER 33/11KV 5 MVA POWER</t>
  </si>
  <si>
    <t>JOINTING SLEEVE FOR RACCOON CONDUCTOR</t>
  </si>
  <si>
    <t>JOINTING SLEEVE FOR DOG CONDUCTOR</t>
  </si>
  <si>
    <t>ACSR CONDUCTOR 0.02 sqmm(20 Sqmm Al.Eq)</t>
  </si>
  <si>
    <t>1 Rabbit + 1 Weasel + 1 Squirrel</t>
  </si>
  <si>
    <t>D-3(I)</t>
  </si>
  <si>
    <t>2 Weasel + 1 Squirrel</t>
  </si>
  <si>
    <t>D-3(II)</t>
  </si>
  <si>
    <t>3 Squirrel</t>
  </si>
  <si>
    <t>D-3(III)</t>
  </si>
  <si>
    <t>AB Switch with complete fitting 11 KV</t>
  </si>
  <si>
    <t>AB SWITCH WITH COMPLETE FITTING. 33 KV</t>
  </si>
  <si>
    <t>DO fuse units 11KV</t>
  </si>
  <si>
    <t>D.O. FUSE UNITS 33 KV</t>
  </si>
  <si>
    <t>ISOLATORS COMPLETE SET11 KV; 600 Amps.</t>
  </si>
  <si>
    <t>33 KV Isolator 800A without earth switch</t>
  </si>
  <si>
    <t>METER MVAR 50-0-50 32 CTR-400/1,PTR-132</t>
  </si>
  <si>
    <t>MOULDED CASE CIRCUIT BREAKER 250/300A</t>
  </si>
  <si>
    <t>11 KV VCB without control panel &amp; CT's.</t>
  </si>
  <si>
    <t>33KV VCB FOR 30 VOLT DC</t>
  </si>
  <si>
    <t>LT AB CABLEB 3X16+1X25 SQMM</t>
  </si>
  <si>
    <t>LT AB CABLEB 3X25+1X25 SQMM</t>
  </si>
  <si>
    <t>33KV 3 CORE XLPE UG CABLE 3X 240SQMM</t>
  </si>
  <si>
    <t>11KV 3 CORE XLPE UG CABLE 95 SQMM</t>
  </si>
  <si>
    <t>11KV 3 CORE XLPE UG CABLE 120 SQMM</t>
  </si>
  <si>
    <t>11KV 3 CORE XLPE UG CABLE 240 SQMM</t>
  </si>
  <si>
    <t>11KV 3 CORE XLPE UG CABLE 400 SQMM</t>
  </si>
  <si>
    <t>CONTROL CABLE COP 8 CORE 2.5 SQ MM PVC/P</t>
  </si>
  <si>
    <t>Per Km</t>
  </si>
  <si>
    <t>A-1(ii)</t>
  </si>
  <si>
    <t xml:space="preserve">On H-Beam 152 x 152 mm 37.1 Kg/ Mtr 13 Mtr long </t>
  </si>
  <si>
    <t>A-1(iii)</t>
  </si>
  <si>
    <t>(B)</t>
  </si>
  <si>
    <t>A-2 (A)</t>
  </si>
  <si>
    <t>A-2 (A) (i)</t>
  </si>
  <si>
    <t>H-Beam Pole</t>
  </si>
  <si>
    <t>A-2 (A) (ii)</t>
  </si>
  <si>
    <t>(C)</t>
  </si>
  <si>
    <t>280 Kg 9.1 Mtrs long PCC poles</t>
  </si>
  <si>
    <t>A-2 (B)(i)</t>
  </si>
  <si>
    <t>A-2 (B)(ii)</t>
  </si>
  <si>
    <t>37.1 Kg /Mtrs 13 Mtrs long H-Beam supports</t>
  </si>
  <si>
    <t>A-2 (B)(iii)</t>
  </si>
  <si>
    <t>(D)</t>
  </si>
  <si>
    <t>GI earthing pipe of 40 mm dia 3.04 mtr long with 12 mm hole at 18 places at equal distance trapered casing at lower end .</t>
  </si>
  <si>
    <t>11 kV ABC-T Jointing kit 95-120 sqmm</t>
  </si>
  <si>
    <t>C-7(B-1) B (III)</t>
  </si>
  <si>
    <t>200 kVA Transformer</t>
  </si>
  <si>
    <t>C-7(B-1) B (IV)</t>
  </si>
  <si>
    <t>315 kVA Transformer</t>
  </si>
  <si>
    <t>C-7(B-1) B (V)</t>
  </si>
  <si>
    <t>(A-2)</t>
  </si>
  <si>
    <t>C-7(A-2)(I)</t>
  </si>
  <si>
    <t>11/0.4 kV Out-door type Transformer Sub-station using 3.5 Core PVC cable.</t>
  </si>
  <si>
    <t>200 kVA on 175 x 85 mm, 9.0 Mtr long reinforced R.S. Joist.</t>
  </si>
  <si>
    <t>11/0.4 kV Out-door type Transformer sub-station using 1 Core PVC cable.</t>
  </si>
  <si>
    <t>Cost of meter replacement of single phase consumer along with shifting of meter outside the premises.</t>
  </si>
  <si>
    <t>E-2</t>
  </si>
  <si>
    <t>With Armoured service cable</t>
  </si>
  <si>
    <t>E-2(i)</t>
  </si>
  <si>
    <t>With Unarmoured service cable</t>
  </si>
  <si>
    <t>E-2(ii)</t>
  </si>
  <si>
    <t>Cost of meter replacement of three phase consumer along with shifting of meter outside the premises.</t>
  </si>
  <si>
    <t>E-3</t>
  </si>
  <si>
    <t>E-3(i)</t>
  </si>
  <si>
    <t>E-3(ii)</t>
  </si>
  <si>
    <t>Cost of meter replacement of three phase consumer CT Operated meter along with shifting of meter outside the premises.</t>
  </si>
  <si>
    <t>E-4</t>
  </si>
  <si>
    <t>Meter shifting of Single phase consumer to outside of premises with New Service Cable.</t>
  </si>
  <si>
    <t>E-5</t>
  </si>
  <si>
    <t>E-5(i)</t>
  </si>
  <si>
    <t>E-5(ii)</t>
  </si>
  <si>
    <t>ALUMINIUM 1C 70 SQ MM UNARMOURED LT PVC</t>
  </si>
  <si>
    <t>ALUMINIUM 1C 150 SQ MM UNARMOURED LT PVC</t>
  </si>
  <si>
    <t>ALUMINIUM 1C 300 SQ MM UNARMOURED LT PVC</t>
  </si>
  <si>
    <t>ALUMINIUM 1C 400 SQ MM UNARMOURED LT PV</t>
  </si>
  <si>
    <t>POWERCABLE ARM ALU 3.5CORE 70/35SQMM PVC</t>
  </si>
  <si>
    <t>POWERCABLE ARM ALU 3.5CORE 150/70SQMM PV</t>
  </si>
  <si>
    <t>Power Cable ARM ALU 3.5CORE 300/150SQMM</t>
  </si>
  <si>
    <t>16,0 SQMM, 4 CORE, ARMOURED AL. CABLE</t>
  </si>
  <si>
    <t>33KV ABC TERMINATION KIT 95-120 SQMM</t>
  </si>
  <si>
    <t>33KV ABC TERMINATION KIT 185 SQMM</t>
  </si>
  <si>
    <t>33KV ABC TERMINATION KIT 240 SQMM</t>
  </si>
  <si>
    <t>STRAIGHT LINE SUSPENSION ASSEMBLY FOR AL</t>
  </si>
  <si>
    <t>11KV ABC T-JOINTING KIT 95-120 SQMM</t>
  </si>
  <si>
    <t>D.C.Cross Arm 5.2 Mtr. Channel</t>
  </si>
  <si>
    <t>Aluminium Paint</t>
  </si>
  <si>
    <t>C-7(B-2)(I)</t>
  </si>
  <si>
    <t>C-7(B-2)(II)</t>
  </si>
  <si>
    <t>100 kVA on H-Beam 152x152 mm, 37.1 Kg/Mtr, 11 mtr long</t>
  </si>
  <si>
    <t>C-7(B-2)(III)</t>
  </si>
  <si>
    <t>200 kVA on H-Beam 152x152 mm, 37.1 Kg/Mtr, 11 mtr long</t>
  </si>
  <si>
    <t>C-7(B-2)(IV)</t>
  </si>
  <si>
    <t>Augmentation of 11/.4 kV S/s capacity (Assuming 25 years of life &amp; 10 years in service)</t>
  </si>
  <si>
    <t>1815 kVAR 12.1 kV 3-phase 50 Hz Outdoor type Capacitor bank having step as 363 kvar+726 kvar+726 Kvar 12.1 kv Bank shall be complete with capacitor units of 121 kVAr at 6.98 kV including allied materials such as suitable size of aluminium busbars, pin/post insulators, expulsion fuses, cable jointing kit, nuts &amp; bolts etc.</t>
  </si>
  <si>
    <t>410-SP-60, 12 Mtrs. Long.</t>
  </si>
  <si>
    <t>410-SP-29, 9 Mtrs. Long.</t>
  </si>
  <si>
    <t>3 Ø 4 Wire 0.5S with DLMS Protocol category B</t>
  </si>
  <si>
    <t>C-7(A-2)(II)</t>
  </si>
  <si>
    <t>C-7(A-2)(III)</t>
  </si>
  <si>
    <t>C-7(A-2)(IV)</t>
  </si>
  <si>
    <t>(B-2)</t>
  </si>
  <si>
    <t>Reason</t>
  </si>
  <si>
    <t>ACSR CONDUCTOR 0.03 Sqmm (30 Sqmm AlEq)</t>
  </si>
  <si>
    <t>ACSR CONDUCTOR 0.05 Sqmm (50 Sqmm Al q)</t>
  </si>
  <si>
    <t>ACSR CONDUCTOR 0.075 Sqmm (80 Sqmm Al.E</t>
  </si>
  <si>
    <t>ACSR CONDUCTOR 0.10 Sqmm (100 Sqmm lEq)</t>
  </si>
  <si>
    <t>CONDUCTOR ACSR PANTHER 130 sq mm</t>
  </si>
  <si>
    <t>CONDUCTOR AAA DOG</t>
  </si>
  <si>
    <t>T-CLAMPS FOR ACSR CONDUCTOR Dog Condutor</t>
  </si>
  <si>
    <t>T-CLAMPS FOR ACSR Raccoon Conductor.</t>
  </si>
  <si>
    <t>12x65 mm</t>
  </si>
  <si>
    <t>12x120 mm</t>
  </si>
  <si>
    <t>12x140 mm</t>
  </si>
  <si>
    <t>16x100 mm</t>
  </si>
  <si>
    <t>16x250 mm</t>
  </si>
  <si>
    <t>16x300 mm</t>
  </si>
  <si>
    <t>20x75 mm</t>
  </si>
  <si>
    <t>20x90 mm</t>
  </si>
  <si>
    <t>20x110 mm</t>
  </si>
  <si>
    <t>24x120 mm</t>
  </si>
  <si>
    <t>G.I. Spring Washer</t>
  </si>
  <si>
    <t>Gl Pipe 40 mm</t>
  </si>
  <si>
    <t>Per Mtr</t>
  </si>
  <si>
    <t>Danger board 33 kV &amp; 11 kV</t>
  </si>
  <si>
    <t>3 Ø 4 Wire 0.5S with DLMS Protocol category A</t>
  </si>
  <si>
    <t>33 kV CTPT Unit 200-100/5 A</t>
  </si>
  <si>
    <t>11 kV CTPT Unit 200-100/5 A</t>
  </si>
  <si>
    <t xml:space="preserve">D.C.Cross arm 4' Centre Angle 100x100x6 mm  </t>
  </si>
  <si>
    <t>D.C.Cross arm 8' Centre 100x50 mm  Channel</t>
  </si>
  <si>
    <t>33 kV Cross Arm 75x75x6 mm</t>
  </si>
  <si>
    <t>D.C.Cross arm 5' Centre 100x50 mm M.S.Channel</t>
  </si>
  <si>
    <t>33 kV Top Channel 75x75x6 mm</t>
  </si>
  <si>
    <t>11 kV Top Clamp Angle type 65x65x6 mm</t>
  </si>
  <si>
    <t>Stay Clamp Rail for H-Beam</t>
  </si>
  <si>
    <t>SCREW DRIVER 150MM</t>
  </si>
  <si>
    <t>RING SPANNER</t>
  </si>
  <si>
    <t>DOUBLE END SPANNER</t>
  </si>
  <si>
    <t>BOX SPANNER</t>
  </si>
  <si>
    <t>11 KV CAPACITOR 600KVAR</t>
  </si>
  <si>
    <t>POLE MOUNTED GAS FILLED LT SHUNT CAPACIT</t>
  </si>
  <si>
    <t>CAPACITOR BANK 11KV 3PHASE 1200 KVAR</t>
  </si>
  <si>
    <t>XMER 16KVA 11/0.4 FOUR STAR ALU WOUND</t>
  </si>
  <si>
    <t>TRANSFORMER 25KVA 11/0.4KV  FOUR STAR</t>
  </si>
  <si>
    <t>TRANSFORMER 63KVA 11/0.43KV FOUR STAR</t>
  </si>
  <si>
    <t>Note:-  All the rates are with considering price variation clause.</t>
  </si>
  <si>
    <t>H.R.C. Fuse 250 Amps.</t>
  </si>
  <si>
    <t>H.R.C. Fuse 400 Amps.</t>
  </si>
  <si>
    <t>H.R.C. Fuse 100 Amps.</t>
  </si>
  <si>
    <t>D.O.Fuse element 33 kV (25 Amp.)</t>
  </si>
  <si>
    <t>D.O.Fuse element 33 kV (50 Amp.)</t>
  </si>
  <si>
    <t>H.R.C. Fuse Unit 250 Amps.</t>
  </si>
  <si>
    <t>T.C. Fuse Wire 12 SWG</t>
  </si>
  <si>
    <t>T.C. Fuse Wire 10 SWG</t>
  </si>
  <si>
    <t>Porcelain Kit-kat fuse unit 32 Amps.</t>
  </si>
  <si>
    <t xml:space="preserve">Piercing connector suitable for 95- 16 sqmm to 10-2.5 sqmm. for street light and service connection. </t>
  </si>
  <si>
    <t xml:space="preserve">Piercing connector suitable for 95- 16 sqmm to 50-16 sqmm. cable for Distribution Box. </t>
  </si>
  <si>
    <t>Piercing connector suitable for 95- 16 sqmm to 95-16 sqmm. for Tee connection.</t>
  </si>
  <si>
    <t>Pre-Insulated Bimetallic crimping lugs for Transformer connector</t>
  </si>
  <si>
    <t>PORCELAIN KIT-KATS FUSE UNITS 100 Amps.</t>
  </si>
  <si>
    <t>PORCELAIN KIT-KATS FUSE UNITS 200 Amps</t>
  </si>
  <si>
    <t>PORCELAIN KIT-KATS FUSE UNITS 300 Amps.</t>
  </si>
  <si>
    <t>12KV KIOSK TYPE OUTDOOR VACUUM CIRCUIT B</t>
  </si>
  <si>
    <t>TPN SWITCHES, 415 VOLTS: - 32 AMPS.</t>
  </si>
  <si>
    <t>TPN SWITCHES, 415 VOLTS: - 63 AMPS.</t>
  </si>
  <si>
    <t>TPN SWITCHES, 415 VOLTS: - 100 AMPS.</t>
  </si>
  <si>
    <t>TPN SWITCHES, 415 VOLTS: - 200 AMPS.</t>
  </si>
  <si>
    <t>TPN SWITCHES, 415 VOLTS: - 300 AMPS.</t>
  </si>
  <si>
    <t>TPN SWITCHES, 415 VOLTS: - 400 AMPS.</t>
  </si>
  <si>
    <t xml:space="preserve">Amount </t>
  </si>
  <si>
    <t>11KV 8 FEET CENTRE DC CROSS ARM</t>
  </si>
  <si>
    <t>33 KV V CROSS ARM</t>
  </si>
  <si>
    <t>33 KV 5 FEET CENTRE DC CROSS ARM</t>
  </si>
  <si>
    <t>STRAIN PLATE</t>
  </si>
  <si>
    <t>33KV top clamp</t>
  </si>
  <si>
    <t>33 KV 4.8 MTR DC CROSS ARM</t>
  </si>
  <si>
    <t>Stay clamp for 'H' Beam</t>
  </si>
  <si>
    <t>11KV 5KN PIN INSULATOR (POLYMER)</t>
  </si>
  <si>
    <t>33KV 10KN PIN INSULATOR (POLYMER)</t>
  </si>
  <si>
    <t>11KV 45KN DISC INSULATOR T&amp;C TYPE (POLYM</t>
  </si>
  <si>
    <t>33KV POLYMER (COMPOSITE) DISC INSULATOR</t>
  </si>
  <si>
    <t>Split insulators.</t>
  </si>
  <si>
    <t>11KV POST INSULATOR</t>
  </si>
  <si>
    <t>33KV POST INSULATOR</t>
  </si>
  <si>
    <t>Disc Insulator</t>
  </si>
  <si>
    <t>Jointing sleeve for Raccoon Conductor.</t>
  </si>
  <si>
    <t>Jointing sleeve for Dog Conductor.</t>
  </si>
  <si>
    <t>Bimetallic clamp for Power Transformer</t>
  </si>
  <si>
    <t>Bimetallic clamp for VCB</t>
  </si>
  <si>
    <t>Bimetallic clamp for CT-PT Unit</t>
  </si>
  <si>
    <t>C-7(A-1)(IV)</t>
  </si>
  <si>
    <t>(B-1)</t>
  </si>
  <si>
    <t>25 kVA on H-Beam 152x152 mm, 37.1 Kg/Mtr, 11 mtr long</t>
  </si>
  <si>
    <t>C-7(B-1)(I)</t>
  </si>
  <si>
    <t>63 kVA on  H-Beam 152x152 mm,37.1 Kg/Mtr, 11 mtr long</t>
  </si>
  <si>
    <t>C-7(B-1)(II)</t>
  </si>
  <si>
    <t>G.I. PIPE 200MM FOR 400MM CABLE OF DIA 1</t>
  </si>
  <si>
    <t>G.I.BEND 200MM</t>
  </si>
  <si>
    <t>CAPING OF HDPE PIPE ON BOTH END OF PIPE</t>
  </si>
  <si>
    <t>900 MM RCC PIPE TYPE NP-2(2.5MTR LONG)</t>
  </si>
  <si>
    <t>PIPE GI 40 MM MEDIUM QUALITY</t>
  </si>
  <si>
    <t>G.I. EARTHING PIPE 40 MM</t>
  </si>
  <si>
    <t>Universal hook &amp; Bolts &amp; nuts</t>
  </si>
  <si>
    <t>Universal distribution connector</t>
  </si>
  <si>
    <t>Cable tie (UV protected black colour) for AB Cable</t>
  </si>
  <si>
    <t>10 Sq.mm, 4 Core</t>
  </si>
  <si>
    <t>16 Sq.mm, 4 Core</t>
  </si>
  <si>
    <t>With 3 core U/G XLPE 400 sqmm Cable</t>
  </si>
  <si>
    <t>A-6(ii)</t>
  </si>
  <si>
    <t>(J)</t>
  </si>
  <si>
    <t>Megger up to 2.5 kV</t>
  </si>
  <si>
    <t>Silica gel</t>
  </si>
  <si>
    <t>25 kVA to 63 kVA</t>
  </si>
  <si>
    <t>63 kVA to 100 kVA</t>
  </si>
  <si>
    <t>Stay Clamp for 280 kG. PCC Pole</t>
  </si>
  <si>
    <t>Stay Clamp Rail "A" type</t>
  </si>
  <si>
    <t>Stay Clamp for R.S.Joist "A" type</t>
  </si>
  <si>
    <t>Caping of RCC Pipe on both end of pipe with Concreting and Bricks work</t>
  </si>
  <si>
    <t>S. No.</t>
  </si>
  <si>
    <t>16x65 mm</t>
  </si>
  <si>
    <t>16x90 mm</t>
  </si>
  <si>
    <t>16x140 mm</t>
  </si>
  <si>
    <t>16x160 mm</t>
  </si>
  <si>
    <t>16x200 mm</t>
  </si>
  <si>
    <t xml:space="preserve">Material Code </t>
  </si>
  <si>
    <t>Description</t>
  </si>
  <si>
    <t>I-Bolt (big size)</t>
  </si>
  <si>
    <t>Foundation bolt</t>
  </si>
  <si>
    <t>Through Bolt</t>
  </si>
  <si>
    <t>Stay clamp for 140 kG PCC Pole</t>
  </si>
  <si>
    <t>Porcelain Kit-kat fuse unit 16 Amps.</t>
  </si>
  <si>
    <t>Porcelain Kit-kat fuse unit 100 Amps.</t>
  </si>
  <si>
    <t>Porcelain Kit-kat fuse unit 200 Amps.</t>
  </si>
  <si>
    <t>Porcelain Kit-kat fuse unit 300 Amps.</t>
  </si>
  <si>
    <t>TPN Switches 32 Amps.</t>
  </si>
  <si>
    <t>TPN Switches 63 Amps.</t>
  </si>
  <si>
    <t>TPN Switches 100 Amps.</t>
  </si>
  <si>
    <t>TPN Switches 200 Amps.</t>
  </si>
  <si>
    <t>TPN Switches 300 Amps.</t>
  </si>
  <si>
    <t>TPN Switches 400 Amps.</t>
  </si>
  <si>
    <t>11 kV Porcelain A.B. Switch</t>
  </si>
  <si>
    <t>33 kV Porcelain A.B. Switch</t>
  </si>
  <si>
    <t>11 kV Porcelain D.O. Fuse unit</t>
  </si>
  <si>
    <t>33 kV Porcelain D.O. Fuse unit</t>
  </si>
  <si>
    <t>MCCB 100 Amps. (10 kA TP)</t>
  </si>
  <si>
    <t>MCCB 300 Amps. (35 kA TP)</t>
  </si>
  <si>
    <t>MCCB 450 TO 500 Amps. (35 kA TP)</t>
  </si>
  <si>
    <t>BOLT WITH NUT M S 12X100 MM</t>
  </si>
  <si>
    <t>M S NUTS AND BOLTS: - 12x120mm</t>
  </si>
  <si>
    <t>M S NUTS AND BOLTS: - 12x140mm</t>
  </si>
  <si>
    <t>M S NUTS AND BOLTS: - 16x40mm</t>
  </si>
  <si>
    <t>Dog conductor</t>
  </si>
  <si>
    <t>Schedule for installation of compact R.M.U. 11 kV Class SF6 / VCB type (1 Incoming + 2 Breaker + 1 Outgoing)</t>
  </si>
  <si>
    <t>C-19</t>
  </si>
  <si>
    <t>Schedule for Chemical Earthing of Metering Equipment installed in the premises of HT consumers in normal / hard rock soil.</t>
  </si>
  <si>
    <t>C-20</t>
  </si>
  <si>
    <t>300 SQMM ALUMINIUM END TERMINALS (LUGS)</t>
  </si>
  <si>
    <t>PRE- INSULATED BIMETALLIC CRIMPING TYPE</t>
  </si>
  <si>
    <t>INSULATING PIERCING CONNECTOR AB CABLE(S</t>
  </si>
  <si>
    <t>INSULATING PIERCING CONNECTOR FOR AB CAB</t>
  </si>
  <si>
    <t>ISI MARKED CABLE ALU 1CORE 120 SQMM 1100</t>
  </si>
  <si>
    <t>ISI MARKED CABLE ALU 1CORE 35 SQMM 1100V</t>
  </si>
  <si>
    <t>3 phase  line on 140 Kg, 8.0 Mtr long PCC poles with following XLPE Cable</t>
  </si>
  <si>
    <t>Using 1100 Volt grade AB Cable 3x50+1x25+1x35</t>
  </si>
  <si>
    <t>D-6 [1] (i)</t>
  </si>
  <si>
    <t>D-6 [1] (ii)</t>
  </si>
  <si>
    <t>3 phase line on RS Joist 175x85 mm ,19.495 Kg/Mtr, 9.3 Mtr long poles with following XLPE Cable</t>
  </si>
  <si>
    <t>D-6 [1] (iii)</t>
  </si>
  <si>
    <t>D-6 [1] (iv)</t>
  </si>
  <si>
    <t>D-6 [1] (v)</t>
  </si>
  <si>
    <t>D-6 [1] (vi)</t>
  </si>
  <si>
    <t>(H )</t>
  </si>
  <si>
    <t>D-6 [2] (i)</t>
  </si>
  <si>
    <t>Using 1100 Volt grade AB Cable 3x70+1x16+1x50</t>
  </si>
  <si>
    <t>D-6 [2] (ii)</t>
  </si>
  <si>
    <t>D-6 [2] (iii)</t>
  </si>
  <si>
    <t>3 phase line on H-Beam 152x152 mm, 37.1 Kg/Mtr, 9.0 Mtr long poles with following XLPE Cable</t>
  </si>
  <si>
    <t>1 phase 3 Wire line on 140 kg 8.0 Mtr.long PCC poles with 1100 V grade AB XLPE Cable 1x25+1x16+1x25 sq.mm.</t>
  </si>
  <si>
    <t xml:space="preserve">D-6 [3] </t>
  </si>
  <si>
    <t>Wall mounting type holder for Hydrometer</t>
  </si>
  <si>
    <t>Earth resistance tester (20/200/2000 Ω)</t>
  </si>
  <si>
    <t>Rain Coats with Hoods</t>
  </si>
  <si>
    <t>Gum Boots</t>
  </si>
  <si>
    <t>Stay clamp HT per pair</t>
  </si>
  <si>
    <t>Strain Plate</t>
  </si>
  <si>
    <t>Dead-end Assembly (Suitable for all size cable)</t>
  </si>
  <si>
    <t>Straight line Suspension Assembly (Suitable for all size cable)</t>
  </si>
  <si>
    <t>Eye Hook</t>
  </si>
  <si>
    <t>Earth spike</t>
  </si>
  <si>
    <t>Pole Clamp</t>
  </si>
  <si>
    <t>Black Cambric tape 25 mm wide 7 mm thick and in rolls of 50 Mtr.</t>
  </si>
  <si>
    <t>PVC lnsulation Tapes 19 mm wide and in rolls of 10 Mtrs</t>
  </si>
  <si>
    <t>Grey Enamel Paint smoke/battle ship</t>
  </si>
  <si>
    <t>Cotton Tapes 19 mm wide and in rolls of 50 Mtrs</t>
  </si>
  <si>
    <t>Cotton Waste</t>
  </si>
  <si>
    <t>Hack saw blade 300x12.5 mm</t>
  </si>
  <si>
    <t>Monoplast</t>
  </si>
  <si>
    <t>Bitumen compound</t>
  </si>
  <si>
    <t>16 kVA Three phase</t>
  </si>
  <si>
    <t xml:space="preserve">Adjustable Screw Spanner 12 inches </t>
  </si>
  <si>
    <t xml:space="preserve">Power Transformer 3150 kVA </t>
  </si>
  <si>
    <t xml:space="preserve">Power Transformer 5000 kVA </t>
  </si>
  <si>
    <t>Indoor Type 33 kV Metering Cubical CTPT Unit 100 /5A</t>
  </si>
  <si>
    <t>L.T.C.T. 100/5 Amps.</t>
  </si>
  <si>
    <t>L.T.C.T. 200/5 Amps.</t>
  </si>
  <si>
    <t>L.T.C.T. 300/5 Amps.</t>
  </si>
  <si>
    <t>L.T.C.T. 500/5 Amps.</t>
  </si>
  <si>
    <t>100 kVA on H-Beam 152x152 mm, 37.1 Kg/Mtr, 11mtr long</t>
  </si>
  <si>
    <t>C-7(B-1)(III)</t>
  </si>
  <si>
    <t>11 kV Guarding Channel 100x50 mm</t>
  </si>
  <si>
    <t>D.O. Mounting Channel 75x40 mm</t>
  </si>
  <si>
    <t>D.C.Cross arm 4' Centre 100x50 mm Channel 2 Nos.</t>
  </si>
  <si>
    <t xml:space="preserve">D.C.Cross arm 4' Centre 75x40 mm Channel </t>
  </si>
  <si>
    <t>33 KV Pin insulator without GI Pin.</t>
  </si>
  <si>
    <t>SHACKEL INSULATORS: - 65 x 50 mm.</t>
  </si>
  <si>
    <t>M S CHANNEL 100X50 MM</t>
  </si>
  <si>
    <t>M S FLAT 65X8 MM</t>
  </si>
  <si>
    <t>R.S.JOIST 125 x 70 mm</t>
  </si>
  <si>
    <t>R S JOIST 175X85 MM</t>
  </si>
  <si>
    <t>Rails 52.09 kgs per Mtr./105 lbs yard</t>
  </si>
  <si>
    <t>RAIL 60 KG PER METER</t>
  </si>
  <si>
    <t>Using HDD Technique</t>
  </si>
  <si>
    <t>(b)</t>
  </si>
  <si>
    <t xml:space="preserve">S. No. </t>
  </si>
  <si>
    <t>Providing, Fabricating and fixing 8 SWG Chain link fencing (TATA Make) 75 x 75 mm Size Gl Chain link Mesh fencing made out of 65 x 65 x 6 mm MS angle as per drawing no. T&amp;D/DRG/MISC/2 Revision -2</t>
  </si>
  <si>
    <t>Sq.mtr</t>
  </si>
  <si>
    <t>11 kV CTPT Unit 400-200/5 A</t>
  </si>
  <si>
    <t>33 kV CTPT Unit 300-150/5 A</t>
  </si>
  <si>
    <t>11 kV C.T. 200-100/5 Amps.</t>
  </si>
  <si>
    <t>11 kV C.T. 300-150/5 Amps.</t>
  </si>
  <si>
    <t>11 kV CTPT Unit 7.5/5 A</t>
  </si>
  <si>
    <t>11 kV CTPT Unit 10/5 A</t>
  </si>
  <si>
    <t>11 kV CTPT Unit 15/5 A</t>
  </si>
  <si>
    <t>11 kV CTPT Unit 300-150/5 A</t>
  </si>
  <si>
    <t>11 kV CTPT Unit 25/5 A</t>
  </si>
  <si>
    <t>11 kV CTPT Unit 75/5 A</t>
  </si>
  <si>
    <t>11 kV CTPT Unit 50/5 A</t>
  </si>
  <si>
    <t>33 kV CTPT Unit 20/5 A</t>
  </si>
  <si>
    <t>33 kV CTPT Unit 5/5 A</t>
  </si>
  <si>
    <t>33 kV CTPT Unit 10/5 A</t>
  </si>
  <si>
    <t>33 kV CTPT Unit 30/5 A</t>
  </si>
  <si>
    <t>33 kV CTPT Unit 50/5 A</t>
  </si>
  <si>
    <t>33 kV CTPT Unit 100 /5A</t>
  </si>
  <si>
    <t xml:space="preserve">(i) Stay set 16 mm </t>
  </si>
  <si>
    <t>Barbed Wire [@ 2 Kg/Pole]</t>
  </si>
  <si>
    <t xml:space="preserve">Binding wire and tape   </t>
  </si>
  <si>
    <t xml:space="preserve">Transport charges upto 50 Kms average lead from Area stores to construction camp inc. site transport (Transport Sch T-1) </t>
  </si>
  <si>
    <t>11 kV Polymer Disc Insulator</t>
  </si>
  <si>
    <t>(iii) Stay Clamp</t>
  </si>
  <si>
    <t xml:space="preserve">Red Oxide paint </t>
  </si>
  <si>
    <t xml:space="preserve">Binding wire and tape  </t>
  </si>
  <si>
    <t>0.09</t>
  </si>
  <si>
    <t>11 kV Top Clamp Angle type with cleat</t>
  </si>
  <si>
    <t>Cable tie (UV protected black colour) for AB Cable (at every two meter)</t>
  </si>
  <si>
    <t>G.I. Wire 8 SWG</t>
  </si>
  <si>
    <t>Sl. No.</t>
  </si>
  <si>
    <t>25 kVA TRANSFORMER</t>
  </si>
  <si>
    <t>63 kVA TRANSFORMER</t>
  </si>
  <si>
    <t>100 kVA TRANSFORMER</t>
  </si>
  <si>
    <t>200 kVA TRANSFORMER</t>
  </si>
  <si>
    <t xml:space="preserve">(i) Stay Set 16 mm </t>
  </si>
  <si>
    <t>4</t>
  </si>
  <si>
    <t>5</t>
  </si>
  <si>
    <t>9</t>
  </si>
  <si>
    <t>10</t>
  </si>
  <si>
    <t>11</t>
  </si>
  <si>
    <t>Nos</t>
  </si>
  <si>
    <t>11 kV 'V' Cross arm with back clamp</t>
  </si>
  <si>
    <t>11 kV Top clamp</t>
  </si>
  <si>
    <t>CT operated electronic static meter 100/5 Amp.</t>
  </si>
  <si>
    <t>Bin Code No</t>
  </si>
  <si>
    <t>200 Kg 8.0 Meter long PCC Pole</t>
  </si>
  <si>
    <t>Transport charges upto 50 Kms. Average lead from area store to const. camping site transport</t>
  </si>
  <si>
    <t>UNIT</t>
  </si>
  <si>
    <t>12 kV, Outdoor type Vacuum Capacitor switches</t>
  </si>
  <si>
    <t>11 kV, 400 Amp, Off Load Isolator with earth switch and mounting GI structure</t>
  </si>
  <si>
    <t>Mounting GI structure for above isolator</t>
  </si>
  <si>
    <t>Indoor Type Automatic Control Unit along with APFC Relay</t>
  </si>
  <si>
    <t>GI Structure for complete Equipment</t>
  </si>
  <si>
    <t xml:space="preserve">Chem Rod Earthing electrode (Chemical Earthing) </t>
  </si>
  <si>
    <t>COST  SCHEDULE  D-1</t>
  </si>
  <si>
    <t xml:space="preserve">LT  LINE  3  PHASE  5  WIRE  ON  PCC  SUPPORTS  USING  RABBIT / WEASEL / SQUIRREL  CONDUCTORS  WITH  MAXIMUM  SPAN  OF 60  METERS </t>
  </si>
  <si>
    <t>New Bin Code</t>
  </si>
  <si>
    <t>Using 50 Sqmm as Phase &amp; 20 Sqmm ACSR as neutral</t>
  </si>
  <si>
    <t>Using 3 Wires of 50 Sqmm ACSR &amp; 2 Wires of 20 Sqmm</t>
  </si>
  <si>
    <t>Using 30 Sqmm as Phase &amp; 20 Sqmm ACSR as neutral</t>
  </si>
  <si>
    <t>Using 3 Wires of 30 Sqmm ACSR &amp; 2 Wires of 20 Sqmm ACSR</t>
  </si>
  <si>
    <t xml:space="preserve">Using 20 Sqmm ACSR as Phase &amp; neutral </t>
  </si>
  <si>
    <t>140 Kg, 8.0 Mtr. long PCC support</t>
  </si>
  <si>
    <t xml:space="preserve">LT Five Pin Cross arm </t>
  </si>
  <si>
    <t>Hardware for 90x75 mm shackle insulator</t>
  </si>
  <si>
    <t xml:space="preserve">Earth knob (Aluminium bobbin)  </t>
  </si>
  <si>
    <t>ACSR conductor including 3% sag</t>
  </si>
  <si>
    <t>(i) 50 Sqmm Al. Eq (Rabbit)</t>
  </si>
  <si>
    <t>(ii) 30 Sqmm Al. Eq (Weasel)</t>
  </si>
  <si>
    <t>(iii) 20 Sqmm Al. Eq (Squirrel)</t>
  </si>
  <si>
    <t>(ii) Stay Wire 7/10 SWG @ 6 Kg/Stay</t>
  </si>
  <si>
    <t>(iv) Stay Insulator</t>
  </si>
  <si>
    <t>Split insulator for guarding</t>
  </si>
  <si>
    <t>Nuts and Bolts</t>
  </si>
  <si>
    <t>Earthing Set (Coil earth as per Drawing No- G/004)</t>
  </si>
  <si>
    <t>G.I. Wire 8 SWG for guarding</t>
  </si>
  <si>
    <t>Back filling of pole pit with boulders @ 0.25 Cmt.</t>
  </si>
  <si>
    <t>Labour charges as per Sch No. DL-1</t>
  </si>
  <si>
    <t>Total cost per Km for non-guaranteed works</t>
  </si>
  <si>
    <t>Total cost per Km for non-guaranteed works (R/Off)</t>
  </si>
  <si>
    <t>Note :-  All the rates are with considering price variation clause.</t>
  </si>
  <si>
    <t>COST  SCHEDULE  D-2</t>
  </si>
  <si>
    <t>1 Km  LT  LINES  3  Phase  4 Wire  USING  RABBIT / WEASEL / SQUIRREL  CONDUCTORS ON 140 Kg; 8.0  Mtr.  LONG  PCC  SUPPORTS  WITH  MAXIMUM  SPAN  OF  60  METERS</t>
  </si>
  <si>
    <t>S. NO.</t>
  </si>
  <si>
    <t>Using 20 Sqmm ACSR as Phase &amp; neutral</t>
  </si>
  <si>
    <t>7</t>
  </si>
  <si>
    <t>8</t>
  </si>
  <si>
    <t>PCC Pole 140 Kg, 8.0 Mtr long</t>
  </si>
  <si>
    <t>LT Four Pin cross arm</t>
  </si>
  <si>
    <t>LT Shackle Insulator (90x75 mm)</t>
  </si>
  <si>
    <r>
      <t xml:space="preserve">Earth knob (Aluminium bobbin) </t>
    </r>
    <r>
      <rPr>
        <sz val="14"/>
        <rFont val="Arial"/>
        <family val="2"/>
      </rPr>
      <t xml:space="preserve"> </t>
    </r>
  </si>
  <si>
    <t>GI wire 8 SWG for guarding</t>
  </si>
  <si>
    <t>Back filling of pole pit with boulder @ 0.25 Cmt</t>
  </si>
  <si>
    <t>Labour charges as per Sch. No. DL-1</t>
  </si>
  <si>
    <t>Transport charges upto 50 Kms average lead from Area stores to construction camp including site transport (Transport Sch T-1)</t>
  </si>
  <si>
    <t>COST SCHEDULE D-3</t>
  </si>
  <si>
    <t>1 Km  LT  LINE  1  PHASE  3  WIRE  USING  RABBIT / WEASEL / SQUIRREL  CONDUCTORS  ON  140 Kg;  8.0  Mtr.  LONG  PCC SUPPORTS  WITH  MAXIMUM  SPAN  OF  60  METERS</t>
  </si>
  <si>
    <t>Using one wire of 50 Sqmm, one wire of 30 Sqmm  ACSR and one wire of 20 Sqmm ACSR  Conductor</t>
  </si>
  <si>
    <t>LT Three Pin cross arm</t>
  </si>
  <si>
    <t xml:space="preserve">Earth knob (Aluminium bobbin)   </t>
  </si>
  <si>
    <t>Hardware for 90x75 mm Shackle insu.</t>
  </si>
  <si>
    <t xml:space="preserve">Split insulator for guarding </t>
  </si>
  <si>
    <t>GI wire 4 mm for guarding</t>
  </si>
  <si>
    <t>COST SCHEDULE    D-4</t>
  </si>
  <si>
    <t xml:space="preserve">1  KM  OF  3  PHASE  5  WIRE  LT  LINE  ON  R.S.  JOIST  WITH  ACSR  CONDUCTOR  FOR URBAN  AREAS </t>
  </si>
  <si>
    <t>3 Ph, 5 Wire line on RSJ 125x70 mm 9.3 Mtr long with max. span 45 Mtrs for size of conductor upto 3x50 Sqmm + 2x30 Sqmm ACSR</t>
  </si>
  <si>
    <t xml:space="preserve">(i) R.S. Joist (125x70 mm) 9.3 Mtr long @13.198 Kg = 122.74 kg/pole x 22 No = 2700.28 Kgs </t>
  </si>
  <si>
    <t xml:space="preserve">(ii) R.S. Joist (175x85 mm) 9.3 Mtr long @ 19.495 Kg  per mtr x 9.3 mtr = 181.3 Kg/pole x 15 No = 2719.55 Kgs  </t>
  </si>
  <si>
    <t>LT Five Pin Cross arm</t>
  </si>
  <si>
    <t>LT Shackle Insulator (90x75 mm) including cut point/angle location</t>
  </si>
  <si>
    <t>(i) 80 Sqmm Al. Eq (Raccoon)</t>
  </si>
  <si>
    <t>(ii) 50 Sqmm Al. Eq (Rabbit)</t>
  </si>
  <si>
    <t>(iii) 30 Sqmm Al. Eq (Weasel)</t>
  </si>
  <si>
    <t>Earthing Set (Coil earth as per Drawing No- G/004</t>
  </si>
  <si>
    <t>G.I. Wire 4 mm for guarding</t>
  </si>
  <si>
    <t>18</t>
  </si>
  <si>
    <t>Labour charges as per Sch. No. DL-2</t>
  </si>
  <si>
    <t>Transport charges upto 50 Kms average lead from Area stores to construction camp inc. site transport (Transport Sch T-1)</t>
  </si>
  <si>
    <t>COST SCHEDULE D-5</t>
  </si>
  <si>
    <t>1 Km.  LT  LINE  1  PHASE  3  WIRE  USING  RABBIT / WEASEL / SQUIRREL  CONDUCTORS ON  R.S.JOIST  SUPPORTS  WITH MAXIMUM SPAN  OF  45  METERS  FOR  URBAN  AREAS</t>
  </si>
  <si>
    <t>Using one wire of 50 Sqmm, one wire of 30 Sqmm ACSR and one wire of 20 Sqmm ACSR  Conductor</t>
  </si>
  <si>
    <t>125x70 mm 9.3 Mtr long RSJ supports @ 13.198 Kg/mtr = 122.74 Kg/pole x 22 Nos = 2700.28 Kgs.</t>
  </si>
  <si>
    <t>ACSR Conductor including 3% sag</t>
  </si>
  <si>
    <t>COST SCHEDULE -- D-6 (1)</t>
  </si>
  <si>
    <t>1  KM  OF  3  PHASE  5  WIRE  LINE  ON  140 KG. PCC  POLE  8 MTR.  LONG  USING  AB  XLPE  CABLE  FOR  RURAL  AREAS  WITH MAXIMUM  SPAN  50  MTRS.  AND  R.S. JOIST/H-BEAM  POLE  SUPPORT  USING  AB  XLPE  CABLE  WITH  MAXIMUM  SPAN  50  METER  URBAN  AREA</t>
  </si>
  <si>
    <t>140 Kg, 8.0 Mtr.  long PCC support</t>
  </si>
  <si>
    <t xml:space="preserve">RS Joist (175X85) mm 9.3 Mtr Long i.e. 19.495 kg/mtr x 9.3 mtr=181.30 kg x 20 No =3626.07 Kgs </t>
  </si>
  <si>
    <t xml:space="preserve">H-BEAM 152x152 mm 37.1 Kg/Mtr 9.0 Mtr long i.e. 408.1 Kg/pole x10 Nos= 4081 Kgs  </t>
  </si>
  <si>
    <t>Using 1100 V grade AB Cable 3x25 + 1x16 + 1x25 sqmm.</t>
  </si>
  <si>
    <t>1(a)</t>
  </si>
  <si>
    <t xml:space="preserve">RS Joist (175X85) mm 9.3 Mtr Long i.e.19.495 kg/mtr x 9.3 mtr=181.30 kg x 20 No = 3626.07 Kgs </t>
  </si>
  <si>
    <t xml:space="preserve">H-BEAM 152x152 mm 37.1 Kg /Mtr 9.0 Mtr long i.e. 333.9 Kg/pole x 20 Nos = 6678 Kgs  </t>
  </si>
  <si>
    <t>(c)</t>
  </si>
  <si>
    <t>140 Kg, 8.0 Mtr long PCC support</t>
  </si>
  <si>
    <t>3(i)</t>
  </si>
  <si>
    <t>Max. possibility of 5 Nos tapping in per km line</t>
  </si>
  <si>
    <t xml:space="preserve">Universal distribution connector </t>
  </si>
  <si>
    <t>LT 3 phase 5 Wire Aerial Bunched Cable of Size</t>
  </si>
  <si>
    <t xml:space="preserve"> (a)</t>
  </si>
  <si>
    <t>(i) Stay Set 16 mm (Complete)</t>
  </si>
  <si>
    <t>(ii) Stay Wire 7/10 SWG &amp; 6 Kg/Stay</t>
  </si>
  <si>
    <t>Distribution box 3 phase 5 connectors</t>
  </si>
  <si>
    <t>Stainless steel strap with buckle for installation of Service Distribution Box.</t>
  </si>
  <si>
    <t>PVC insulated single core 16 sq.mm. cable @ 6 mtr. per 3 phase box</t>
  </si>
  <si>
    <t>Barbed wire [@ 2 kg  per pole]</t>
  </si>
  <si>
    <t>Back filling of pole pit with boulder @ 0.3 Cmt./pole</t>
  </si>
  <si>
    <t>Labour charges as per Sch. No.- DL-7</t>
  </si>
  <si>
    <t>Note:- All the rates are with considering price variation clause.</t>
  </si>
  <si>
    <t>COST SCHEDULE -- D-6 (2)</t>
  </si>
  <si>
    <t>140 Kg, 8.0 Mtr.  long PCC support Using 1100 V grade AB Cable 3x70 + 1x16 + 1x50 sqmm.</t>
  </si>
  <si>
    <t>RS Joist (175X85) mm 9.3 Mtr Long i.e. 19.495 kg/mtr x 9.3 mtr = 181.30 kg x 20 No = 3626.07 Kgs  Using 1100 V grade AB Cable 3x70 + 1x16 + 1x50 sqmm.</t>
  </si>
  <si>
    <t>H-BEAM 152x152 mm 37.1 Kg/Mtr 9.0 Mtr long i.e. 408.1 Kg/pole x10 Nos = 4081 Kgs   Using 1100 V grade AB Cable 3x70 + 1x16 + 1x50 sqmm.</t>
  </si>
  <si>
    <t>3x70 + 1x16 + 1x50 sqmm. (6% sag)</t>
  </si>
  <si>
    <r>
      <t xml:space="preserve">          </t>
    </r>
    <r>
      <rPr>
        <b/>
        <u val="single"/>
        <sz val="14"/>
        <rFont val="Arial"/>
        <family val="2"/>
      </rPr>
      <t>COST SCHEDULE -- D-6 (3)</t>
    </r>
  </si>
  <si>
    <t>1  KM  OF  1  PHASE  3  WIRE  LINE  ON  140 KG. PCC  POLE  8 MTR.  LONG  USING  AB  XLPE  CABLE  FOR  RURAL  AREAS  WITH MAXIMUM  SPAN  50  MTRS.</t>
  </si>
  <si>
    <t>140 Kg, 8.0 Mtr. long PCC support Using 1100 V grade AB Cable 1x25 + 1x16 + 1x25 sqmm.</t>
  </si>
  <si>
    <t>Distribution box 1 phase 9 connectors</t>
  </si>
  <si>
    <t>LT 1 phase 3 Wire AB XLPE Cable 1x25 + 1x16 + 1x25 sqmm. (6% sag)</t>
  </si>
  <si>
    <t>PVC insulated single core 16 sq.mm. cable @ 3 mtr. per 1 phase box</t>
  </si>
  <si>
    <t>Labour charges as per schedule DL-8</t>
  </si>
  <si>
    <r>
      <t xml:space="preserve">       </t>
    </r>
    <r>
      <rPr>
        <b/>
        <u val="single"/>
        <sz val="14"/>
        <rFont val="Arial"/>
        <family val="2"/>
      </rPr>
      <t>COST SCHEDULE -- D-6 (4)</t>
    </r>
  </si>
  <si>
    <t xml:space="preserve">1 Km.  OF  3  PHASE  4  WIRE LT  LINE WITH AERIAL BUNCH CABLE FOR  PUMP CONNECTION UPTO 5 HP &amp; 5 CONNECTION PER KM. WITH MAXIMUM  SPAN  50  MTRS.  </t>
  </si>
  <si>
    <t>Rate (Rs.)</t>
  </si>
  <si>
    <t xml:space="preserve">LT 3 phase 4 Wire Aerial Bunched Cable of Size 3x16 + 1x25 sqmm.  </t>
  </si>
  <si>
    <t>Amt (Rs.)</t>
  </si>
  <si>
    <t>140 Kg., 8.0 Mtrs. long  PCC Poles</t>
  </si>
  <si>
    <t>LT 3 phase 4 Wire Aerial Bunched Cable of Size 3x16 + 1x25 sqmm. (6% sag)</t>
  </si>
  <si>
    <t>5(i)</t>
  </si>
  <si>
    <t>LT Feeder Piller box for 3 phase 8 connection made of M.S.Sheet</t>
  </si>
  <si>
    <t>Labour charges as per Sch. No.- DL-9</t>
  </si>
  <si>
    <t xml:space="preserve"> COST SCHEDULE --  D-6 (B)</t>
  </si>
  <si>
    <t>COST  SCHEDULE  FOR  ADDITIONAL  POLES  (MID SPAN)  FOR  LT  LINE  WITH  AB  CABLE</t>
  </si>
  <si>
    <t>RSJ (125x70 mm) 9.3 Mtr long @ 13.198 kg</t>
  </si>
  <si>
    <t>3 (i)</t>
  </si>
  <si>
    <t>Universal distribution connector (1 No. per pole)</t>
  </si>
  <si>
    <t>Labour charges [as per Sch. No.- DL-6(B)]</t>
  </si>
  <si>
    <t>Total Cost per</t>
  </si>
  <si>
    <t xml:space="preserve">Total cost  (R/Off) </t>
  </si>
  <si>
    <t>COST SCHEDULE  D-7</t>
  </si>
  <si>
    <t>HVDS  SYSTEM  OF  200 kVA  PARENT   DTR  TAKING  4 Km.  LT.  TO  BE CONVERTED.</t>
  </si>
  <si>
    <t>Bin Code</t>
  </si>
  <si>
    <t>140 Kg 8 Mtr. Long PCC Pole (for mid span)</t>
  </si>
  <si>
    <t>(i) Stay Set 16 mm</t>
  </si>
  <si>
    <t>(ii) Stay Wire 7/10 SWG (5.5 Kg/stay)</t>
  </si>
  <si>
    <t>(iii) Stay Clamp for 140 kg PCC</t>
  </si>
  <si>
    <t>Transformer mounting cross arm DC channel 100x50x6 mm. 2.7 mtr long 8' Centre</t>
  </si>
  <si>
    <t>D.O. mounting Channel</t>
  </si>
  <si>
    <t>DC Channel 100x50x6 mm</t>
  </si>
  <si>
    <t>11 kV Single pole cut point fitting</t>
  </si>
  <si>
    <t xml:space="preserve">11 kV Strain Hardware set </t>
  </si>
  <si>
    <t xml:space="preserve">11 kV Polymer Lightning Arrestor </t>
  </si>
  <si>
    <t>11 kV D.O. Fuse Unit</t>
  </si>
  <si>
    <t>Protection cum metering box with 40 amp. MCCB &amp; 4 No. 3 phase meter.</t>
  </si>
  <si>
    <t>Protection cum metering box with 25 amp. MCCB &amp; 3 No. 3 phase meter.</t>
  </si>
  <si>
    <t xml:space="preserve">35 sqmm single core XLPE cable </t>
  </si>
  <si>
    <t xml:space="preserve"> XLPE insulated 4 core 10 sqmm. armoured  cable</t>
  </si>
  <si>
    <t>G.I. Pipe 40 mm (9 Mtr. per sub-station)</t>
  </si>
  <si>
    <t>11 kV 'V' Cross arm</t>
  </si>
  <si>
    <t>11 kV Top Clamp</t>
  </si>
  <si>
    <t>16X200 mm</t>
  </si>
  <si>
    <t>I- Bolt 16 mm</t>
  </si>
  <si>
    <t>ACSR Weasel conductor for Reconductoring</t>
  </si>
  <si>
    <t>Labour charges [as per Sch. No.- DL-10]</t>
  </si>
  <si>
    <t>Note: All the rates are considering with price variation clause. Actual returnable material schedule may be prepared separately.</t>
  </si>
  <si>
    <t>COST SCHEDULE   D-8</t>
  </si>
  <si>
    <t>HVDS  SYSTEM  OF 100 kVA  PARENT  DTR  TAKING  3 KM.  LT  TO  BE  CONVERTED</t>
  </si>
  <si>
    <t>140 Kg 8 Mtr. Long PCC pole (for mid span)</t>
  </si>
  <si>
    <t>(ii) Stay Wire 7/10 (5.5 kg/stay)</t>
  </si>
  <si>
    <t>Transformer mounting cross arm DC channel 100x50x6 mm. 2.7 mtr long 8' centre</t>
  </si>
  <si>
    <t>DC Cross arm 100x50x6 mm 8 ' centre 2.7 mtr long</t>
  </si>
  <si>
    <t>DO mounting Channel</t>
  </si>
  <si>
    <t>11 kV Single pole cut point channel</t>
  </si>
  <si>
    <t>11 kV D.O. Set</t>
  </si>
  <si>
    <t>Protection cum metering box with 40 amp. MCCB &amp; 4 No. 3 phase meter for 25 kVA  X-mer</t>
  </si>
  <si>
    <t>Protection cum metering box with 25 amp. MCCB &amp; 3 No. 3 phase meter for 16 kVA  X-mer</t>
  </si>
  <si>
    <t>G.I. Pipe 40 mm (5 Mtr. per substation)</t>
  </si>
  <si>
    <t>I - Bolt 16 mm</t>
  </si>
  <si>
    <t>Labour charges [as per Sch. No.- DL-11]</t>
  </si>
  <si>
    <t>COST SCHEDULE   D-9</t>
  </si>
  <si>
    <t>HVDS  SYSTEM  OF  63  kVA  PARENT  DTR  TAKING  2 KM.  LT  TO  BE  CONVERTED</t>
  </si>
  <si>
    <t>(ii) Stay Wire 7/10 SWG (5.5 kg/stay)</t>
  </si>
  <si>
    <t>(iii) Stay Clamp for 140 kg PCC Pole</t>
  </si>
  <si>
    <t>Transformer mounting arrangement DC cross arm 100x50x6 mm. 2.7 mtr long 8' Centre</t>
  </si>
  <si>
    <t>DC cross arm 100x50x6 mm 8 ' Centre 2.7 mtr long</t>
  </si>
  <si>
    <t>DO Mounting Channel</t>
  </si>
  <si>
    <t>11 kV Single Pole cut point channel</t>
  </si>
  <si>
    <t>Protection cum metering box with 40 Amp. MCCB &amp; 4 No. 3 phase meter for 25 kVA  X-mer</t>
  </si>
  <si>
    <t>Protection cum metering box with 25 Amp. MCCB &amp; 3 No. 3 phase meter for 16 kVA  X-mer</t>
  </si>
  <si>
    <t>G.I. Pipe 40 mm (5 Mtr. per Sub-station)</t>
  </si>
  <si>
    <t>28</t>
  </si>
  <si>
    <t>Labour charges [as per Sch. No.- DL-12]</t>
  </si>
  <si>
    <t xml:space="preserve">Note:- </t>
  </si>
  <si>
    <t>All the rates are considering with price variation clause. Actual returnable material schedule may be prepared separately.</t>
  </si>
  <si>
    <t>COST SCHEDULE  D-10</t>
  </si>
  <si>
    <t>CONVERSION  OF 1 KM  LT  LINE  INTO 11 kV LINE</t>
  </si>
  <si>
    <r>
      <t xml:space="preserve">Rate </t>
    </r>
    <r>
      <rPr>
        <b/>
        <sz val="10"/>
        <rFont val="Arial"/>
        <family val="2"/>
      </rPr>
      <t xml:space="preserve"> </t>
    </r>
  </si>
  <si>
    <t>140 Kg 8.0 meter long PCC Poles (for where ever required )</t>
  </si>
  <si>
    <t>11 kV 'V' Cross arm with clamp</t>
  </si>
  <si>
    <t>Earthing set (coil earth as per Drawing No.G/007)</t>
  </si>
  <si>
    <t xml:space="preserve">Jointing sleeves suitable for Weasel/ Rabbit conductor  </t>
  </si>
  <si>
    <t xml:space="preserve">Binding wires &amp; tape  </t>
  </si>
  <si>
    <t xml:space="preserve">Nuts and bolts                                                         </t>
  </si>
  <si>
    <t>(i) 11 kV Guarding Channel 100x50 mm set.</t>
  </si>
  <si>
    <t>(iii) Stay clamp (Pair) H.T.</t>
  </si>
  <si>
    <t>(iv) Stay wire 7/10 SWG @ 5.5 kg/stay</t>
  </si>
  <si>
    <t>(v) Stay set 16 mm.</t>
  </si>
  <si>
    <t>(vi) I - Bolt big size.</t>
  </si>
  <si>
    <t>Labour charges as per Schedule  No. DL-3 (E-1)</t>
  </si>
  <si>
    <t xml:space="preserve">Cost per Km. for Non guaranteed works </t>
  </si>
  <si>
    <t>Cost per Km. for Non guaranteed works (Rounded off)</t>
  </si>
  <si>
    <t xml:space="preserve">(i) Three wire LT line will be utilized for converting into 11 kV line. </t>
  </si>
  <si>
    <t>(ii) For replacement of deteriorated conductor of LT line suitable provision should be made while preparing the estimates</t>
  </si>
  <si>
    <t>COST  SCHEDULE   D-11</t>
  </si>
  <si>
    <t>LT  LINE  CONVERSION  USING  RABBIT  CONDUCTOR  MAXIMUM  SPAN  OF 45  MTRS.</t>
  </si>
  <si>
    <t xml:space="preserve">New Bin code </t>
  </si>
  <si>
    <t>1 Phase 2 Wire to 1 Phase 3 Wire Conversion</t>
  </si>
  <si>
    <t>1 Phase 2 Wire to 3 Phase 4 Wire Conversion</t>
  </si>
  <si>
    <t>1 Phase 3 Wire to 3 Phase 4 Wire Conversion</t>
  </si>
  <si>
    <t>1 Phase 3 Wire to 3 Phase 5 Wire Conversion</t>
  </si>
  <si>
    <t>LT Five Pin cross arm</t>
  </si>
  <si>
    <t>Hardware for Shackle Insulator</t>
  </si>
  <si>
    <t xml:space="preserve">ACSR RABBIT Conductor including 3% Sag  </t>
  </si>
  <si>
    <t xml:space="preserve">M.S. Nuts &amp; bolts </t>
  </si>
  <si>
    <t>Clamp for R.S. Joist or PCC 140 Kg./8 mtr long</t>
  </si>
  <si>
    <t>Labour Charges as per DL-4.</t>
  </si>
  <si>
    <t xml:space="preserve">Transportation Charges </t>
  </si>
  <si>
    <r>
      <t>Total (rounding off)</t>
    </r>
    <r>
      <rPr>
        <b/>
        <sz val="10"/>
        <rFont val="Arial"/>
        <family val="2"/>
      </rPr>
      <t xml:space="preserve"> </t>
    </r>
  </si>
  <si>
    <t>COST  SCHEDULE   D-12 ( E-2)</t>
  </si>
  <si>
    <t>CONVERSION  OF  1  KM  1  PHASE  3  WIRE  LT  LINE  INTO  11  kV  LINE</t>
  </si>
  <si>
    <r>
      <t xml:space="preserve">Rate </t>
    </r>
    <r>
      <rPr>
        <b/>
        <sz val="11"/>
        <rFont val="Arial"/>
        <family val="2"/>
      </rPr>
      <t xml:space="preserve"> </t>
    </r>
  </si>
  <si>
    <t>140 Kg 8.0 meter long PCC Pole (for where ever required )</t>
  </si>
  <si>
    <t>11 kV Top clamp Angle type with cleat.</t>
  </si>
  <si>
    <t xml:space="preserve">Jointing sleeves suitable for weasel / rabbit conductor  </t>
  </si>
  <si>
    <t xml:space="preserve">Binding wire &amp; tape  </t>
  </si>
  <si>
    <t xml:space="preserve">Nuts and Bolts                                                         </t>
  </si>
  <si>
    <t>(iii) Stay Clamp (Pair) H.T.</t>
  </si>
  <si>
    <t>(iv) Stay Wire 7/10 SWG @ 5.5 kg/stay</t>
  </si>
  <si>
    <t>(vi) I- Bolt big size.</t>
  </si>
  <si>
    <t>PVC Insulated cable 16 sqmm 1 core unarmoured</t>
  </si>
  <si>
    <t xml:space="preserve">ACSR Conductor 20 sqmm. Al. Eq. for neutral </t>
  </si>
  <si>
    <t>Back filling of pole with boulders @ 0.3 Cmt. per pole.</t>
  </si>
  <si>
    <t>Labour charges as per Schedule No. DL-5 ( E-2)</t>
  </si>
  <si>
    <t>Transport charges upto 50 Kms. Average lead from Area Store to construction camping site transport</t>
  </si>
  <si>
    <t xml:space="preserve">(1) In 1 Phase 3 Wire L.T. three wire conductor will be reutilised. </t>
  </si>
  <si>
    <t>(2) In Case of replacement of Old conductor, new conductor may be incorporated in the estimate and depreciated value will be accounted for in the estimate.</t>
  </si>
  <si>
    <t>COST  SCHEDULE  D-13 (E-3)</t>
  </si>
  <si>
    <t>CONVERSION OF 1 kM 3 PHASE 5 WIRE LT LINE INTO 11 kV LINE</t>
  </si>
  <si>
    <t>140 Kg 8.0 meter long PCC Pole (for where ever required)</t>
  </si>
  <si>
    <t>11 kV Top Clamp Angle type with cleat.</t>
  </si>
  <si>
    <t>(vi) I-Bolt big size.</t>
  </si>
  <si>
    <t>PVC insulated cable 16 sqmm 1 core unarmoured</t>
  </si>
  <si>
    <t>Labour charges as per Schedule No. DL-6 (E-3)</t>
  </si>
  <si>
    <r>
      <t>(1) In 3 Phase 5 Wire LT system, 5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conductor i.e. neutral conductor and 4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conductor will be returned to Area Stores and depreciated value of neutral conductor will be accounted for at the time of estimate framing. L.T. Phase conductor will be reutilised. </t>
    </r>
  </si>
  <si>
    <t>(2) In case of replacement of Old conductor, new conductor may be incorporated in the estimate and depreciated value will be accounted for in the estimate.</t>
  </si>
  <si>
    <t>COST SCHEDULE -- D-14</t>
  </si>
  <si>
    <t>DISTRIBUTION  BOX  ON  EXISTING  LT  LINES  FOR  SERVICE  CONNECTIONS</t>
  </si>
  <si>
    <t>DESCRIPTION</t>
  </si>
  <si>
    <t xml:space="preserve">Rate per Distribution Box
</t>
  </si>
  <si>
    <t xml:space="preserve">Incidental Charges (9%)
</t>
  </si>
  <si>
    <t xml:space="preserve">Labour Charges per Distribution Box
</t>
  </si>
  <si>
    <t xml:space="preserve">Cost per Distribution Box
</t>
  </si>
  <si>
    <r>
      <t xml:space="preserve">Cost per Distribution Box
</t>
    </r>
    <r>
      <rPr>
        <b/>
        <sz val="11"/>
        <rFont val="Arial"/>
        <family val="2"/>
      </rPr>
      <t xml:space="preserve"> Round Off</t>
    </r>
  </si>
  <si>
    <t>Single phase Distribution box for 9 connections</t>
  </si>
  <si>
    <t>Three phase Distribution box for 5 connections</t>
  </si>
  <si>
    <t>COST SCHEDULE -- E-1</t>
  </si>
  <si>
    <t>METERING  OF  11/0.4  kV  DISTRIBUTION  TRANSFORMER  (TO  BE  SUPPLEMENTED  WITH  COST SCHEDULE  C-7 (A1, A2, B1, B2, C1, C2)</t>
  </si>
  <si>
    <t>Poly phase static energy meter 10-60 Amp. with meter box</t>
  </si>
  <si>
    <t>1(b)</t>
  </si>
  <si>
    <t>LT CT :-</t>
  </si>
  <si>
    <t>(i) 100/5 Amp.</t>
  </si>
  <si>
    <t>(ii) 200/5 Amp.</t>
  </si>
  <si>
    <t>(iii) 300/5 Amp.</t>
  </si>
  <si>
    <t>Meter Box (G.I. Plain sheet) for 3 Phase LT CT operated meter.</t>
  </si>
  <si>
    <t>Copper control cable 4 core 2.5 sq.mm Unarmoured</t>
  </si>
  <si>
    <t xml:space="preserve">Labour &amp; Transportation charges </t>
  </si>
  <si>
    <t>Cost of Metering for non-guaranteed works</t>
  </si>
  <si>
    <t>Cost of Metering for non-guaranteed works (Rounded off).</t>
  </si>
  <si>
    <t>COST SCHEDULE -- E-2</t>
  </si>
  <si>
    <t>METER MODERNISATION : REPLACING THE EXISTING METERS WITH ELECTRONIC METERS WHICH ARE HIGHLY CAPABLE OF IMPROVING BILLING EFFICIENCY ALONGWITH SHIFTING OF METER OUTSIDE THE PREMISES.</t>
  </si>
  <si>
    <t>SINGLE PHASE CONNECTION</t>
  </si>
  <si>
    <t>Armoured service cable</t>
  </si>
  <si>
    <t>Unarmoured service cable</t>
  </si>
  <si>
    <t>LT Single Phase Static Meter 5-30 Amps. Pilfer Proof with transparent polycarbonate meter box</t>
  </si>
  <si>
    <t>Armoured Service Cable - Single Phase, 2 core- 6 sq mm</t>
  </si>
  <si>
    <t>Unarmoured Service Cable - Single Phase, 2 core- 6 sq mm</t>
  </si>
  <si>
    <t>LT Shackle Insulator 65x50 mm</t>
  </si>
  <si>
    <t>H/W for 65x50 mm Shackle Insulator</t>
  </si>
  <si>
    <t>PVC Insulation Tape</t>
  </si>
  <si>
    <t>Misc Items , e.g., Screw, cut outs</t>
  </si>
  <si>
    <t>Lot</t>
  </si>
  <si>
    <t>M-Seal</t>
  </si>
  <si>
    <t>Per Installation</t>
  </si>
  <si>
    <t>Cost for meter replacement of a Single Phase Consumer</t>
  </si>
  <si>
    <t>Cost for meter replacement of a Single Phase Consumer (Round off)</t>
  </si>
  <si>
    <t>COST SCHEDULE -- E-3</t>
  </si>
  <si>
    <t>THREE PHASE CONNECTION</t>
  </si>
  <si>
    <t>LT 3 phase electronic energy meter 10-60 Amps. with poly carbonate meter box</t>
  </si>
  <si>
    <t>Armoured Service Cable - Three Phase, 4 core-10 sq mm</t>
  </si>
  <si>
    <t>Unarmoured Service Cable - Three Phase, 4 core-10 sq mm</t>
  </si>
  <si>
    <t>Misc Items , e.g., Screw, cut-outs</t>
  </si>
  <si>
    <t>Cost for meter replacement of a Three Phase Consumer</t>
  </si>
  <si>
    <t>Cost for meter replacement of a Three Phase Consumer (Round Off)</t>
  </si>
  <si>
    <t>No of Consumers for Meter Replacement</t>
  </si>
  <si>
    <t xml:space="preserve">Total Cost </t>
  </si>
  <si>
    <r>
      <t>Total Cost</t>
    </r>
    <r>
      <rPr>
        <b/>
        <sz val="12"/>
        <rFont val="Arial"/>
        <family val="2"/>
      </rPr>
      <t xml:space="preserve"> Round Off</t>
    </r>
  </si>
  <si>
    <t>COST SCHEDULE -- E-4</t>
  </si>
  <si>
    <t>THREE  PHASE  CONNECTION  CT- OPERATED  METERS</t>
  </si>
  <si>
    <t>CT Operated Electronic Static Meters 100/5 Amp. with data storage</t>
  </si>
  <si>
    <t>Cost for meter replacement of Three Phase Consumer CT Operated Meters</t>
  </si>
  <si>
    <t>Cost for meter replacement of 3- Phase Consumer CT Operated Meters (Round Off)</t>
  </si>
  <si>
    <t>COST  SCHEDULE -- E-5</t>
  </si>
  <si>
    <t xml:space="preserve">METER  SHIFTING  OF  SINGLE  PHASE  CONSUMER  TO  OUTSIDE  OF  PREMISES WITH  NEW  SERVICE  CABLE </t>
  </si>
  <si>
    <t xml:space="preserve">Armoured Service Cable - Single Phase, 2 core- 6 sq. mm. </t>
  </si>
  <si>
    <t>Cost for meter shifting of a Single Phase Consumer</t>
  </si>
  <si>
    <t>Cost for meter shifting of a Single Phase Consumer (Round Off)</t>
  </si>
  <si>
    <t>COST  SCHEDULE -- E-6</t>
  </si>
  <si>
    <t xml:space="preserve">METER  SHIFTING  OF  THREE  PHASE  CONSUMER  TO  OUTSIDE  OF  PREMISES  WITH  NEW SERVICE  CABLE </t>
  </si>
  <si>
    <t>Cost for meter shifting of a Three Phase Consumer</t>
  </si>
  <si>
    <t>Cost for meter shifting of a Three Phase Consumer (Round Off)</t>
  </si>
  <si>
    <t>11 kV Covered Conductor 50 Sqmm XLPE insulation</t>
  </si>
  <si>
    <t>11 kV Covered Conductor 70 Sqmm XLPE insulation</t>
  </si>
  <si>
    <t>11 kV Covered Conductor 99 Sqmm XLPE insulation</t>
  </si>
  <si>
    <t>33 kV Covered Conductor 157 Sqmm XLPE insulation</t>
  </si>
  <si>
    <t>33 kV Covered Conductor 241 Sqmm XLPE insulation</t>
  </si>
  <si>
    <t>33 kV Covered Conductor 70 Sqmm XLPE insulation</t>
  </si>
  <si>
    <t>33 kV Covered Conductor 99 Sqmm XLPE insulation</t>
  </si>
  <si>
    <t>11KV  COVERED CONDUCTOR XLPE 50SQMM</t>
  </si>
  <si>
    <t>11KV  COVERED CONDUCTOR XLPE 70SQMM</t>
  </si>
  <si>
    <t>11KV  COVERED CONDUCTOR XLPE 99SQMM</t>
  </si>
  <si>
    <t>33KV  COVERED CONDUCTOR XLPE 157SQMM</t>
  </si>
  <si>
    <t>33KV  COVERED CONDUCTOR XLPE 241SQMM</t>
  </si>
  <si>
    <t>33KV  COVERED CONDUCTOR XLPE 70SQMM</t>
  </si>
  <si>
    <t>33KV  COVERED CONDUCTOR XLPE 99SQMM</t>
  </si>
  <si>
    <t>Pilfer proof SMC/FRPP/PPO LTCT meter box</t>
  </si>
  <si>
    <t>T.C. Fuse Wire 8 SWG</t>
  </si>
  <si>
    <t>FUSE WIRE TINNED COPPER 8 SWG</t>
  </si>
  <si>
    <t>2017-18</t>
  </si>
  <si>
    <t>D.O.Fuse Polymer unit 11 kV</t>
  </si>
  <si>
    <t>D.O.Fuse Polymer unit 33 kV</t>
  </si>
  <si>
    <t>PCC Pole 200 kG; 9.0 Mtr. Long</t>
  </si>
  <si>
    <t>PCC Pole 365 kG; 11 Mtr. Long</t>
  </si>
  <si>
    <t>11 kV Polymer Post Insulator</t>
  </si>
  <si>
    <t>33 kV Polymer Post Insulator</t>
  </si>
  <si>
    <t>Polymer A.B.Switch with complete fitting 11 kV</t>
  </si>
  <si>
    <t>Polymer A.B.Switch with complete fitting 33 kV</t>
  </si>
  <si>
    <t>NEW BIN CODE ALLOTED</t>
  </si>
  <si>
    <t>11 kV top clamp</t>
  </si>
  <si>
    <t>11 kV Cut point channel paint</t>
  </si>
  <si>
    <t>Grounding Sticks (Galvanised Earthing Rods 25 mm, 3 Mtr. long)</t>
  </si>
  <si>
    <t>End terminating jointing kit upto 240 sqmm XLPE cable</t>
  </si>
  <si>
    <r>
      <t xml:space="preserve">33KV END TERMINAL JOINTING KIT </t>
    </r>
    <r>
      <rPr>
        <b/>
        <sz val="10"/>
        <rFont val="Verdana"/>
        <family val="2"/>
      </rPr>
      <t>FOR</t>
    </r>
    <r>
      <rPr>
        <sz val="10"/>
        <rFont val="Verdana"/>
        <family val="2"/>
      </rPr>
      <t xml:space="preserve"> 240SQ</t>
    </r>
  </si>
  <si>
    <t>G.I. Pipe 200 mm for 400 sqmm cable of dia 105 mm</t>
  </si>
  <si>
    <t>2.5 sqmm. Twin Core PVC insulated single phase armoured service Cable</t>
  </si>
  <si>
    <t>4.0 sqmm. Twin Core PVC insulated single phase armoured service Cable</t>
  </si>
  <si>
    <t>6.0 sqmm. Twin Core PVC insulated single phase armoured service Cable</t>
  </si>
  <si>
    <t>6.0 sqmm. Four Core PVC insulated three phase Armoured service Cable</t>
  </si>
  <si>
    <t>8.0 sqmm. Four Core PVC insulated three phase Armoured service Cable</t>
  </si>
  <si>
    <t>10 sqmm. Four Core PVC insulated three phase Armoured service Cable</t>
  </si>
  <si>
    <t>16 sqmm. Four Core PVC insulated three phase Armoured service Cable</t>
  </si>
  <si>
    <t>25 sqmm. Four Core PVC insulated three phase Armoured service Cable</t>
  </si>
  <si>
    <t>2.5 sqmm 2C 1ɸ Armour PVC insulated service Cable</t>
  </si>
  <si>
    <t>4.0 sqmm 2C 1ɸ Armour PVC insulated service Cable</t>
  </si>
  <si>
    <t>6.0 sqmm 2C 1ɸ Armour PVC insulated service Cable</t>
  </si>
  <si>
    <t>6.0 sqmm 4C 3ɸ Armour PVC insulated service Cable</t>
  </si>
  <si>
    <t>8.0 sqmm 4C 3ɸ Armour PVC insulated service Cable</t>
  </si>
  <si>
    <t>10 sqmm 4C 3ɸ Armour PVC insulated service Cable</t>
  </si>
  <si>
    <t>16 sqmm 4C 3ɸ Armour PVC insulated service Cable</t>
  </si>
  <si>
    <t>25 sqmm 4C 3ɸ Armour PVC insulated service Cable</t>
  </si>
  <si>
    <t>16 kVA, Aluminium wound ISI Marked, 11/0.433 kV Distribution Transformer having energy efficiency level '2'</t>
  </si>
  <si>
    <t>25 kVA, Aluminium wound ISI Marked, 11/0.433 kV Distribution Transformer having energy efficiency level '2'</t>
  </si>
  <si>
    <t>63 kVA, Aluminium wound ISI Marked, 11/0.433 kV Distribution Transformer having energy efficiency level '2'</t>
  </si>
  <si>
    <t>100 kVA, Aluminium wound ISI Marked, 11/0.433 kV Distribution Transformer having energy efficiency level '2'</t>
  </si>
  <si>
    <t>200 kVA, Aluminium wound ISI Marked, 11/0.433 kV Distribution Transformer having energy efficiency level '2'</t>
  </si>
  <si>
    <t>Labour charges for concreting</t>
  </si>
  <si>
    <t>Overhead Charges @ 12.5% [Market Fluctuation, Service Tax, Contractor's profit etc.]</t>
  </si>
  <si>
    <r>
      <t xml:space="preserve">RCC Block (with 6 mm MS Bar) </t>
    </r>
    <r>
      <rPr>
        <sz val="11"/>
        <rFont val="Arial"/>
        <family val="2"/>
      </rPr>
      <t>*</t>
    </r>
  </si>
  <si>
    <t>One No. RCC Block for base padding and two numbers for stay set (except DP Structure)</t>
  </si>
  <si>
    <t>ISI Marked Energy Efficiency level-2 transformer</t>
  </si>
  <si>
    <t>Transformer 11/0.4 kV (Energy efficient)</t>
  </si>
  <si>
    <t>11 kV Control &amp; Relay Panel for Capacitor Bank</t>
  </si>
  <si>
    <t xml:space="preserve">Cmt </t>
  </si>
  <si>
    <t>COMPARATIVE STATEMENT OF RATES FROM YEAR  2016-17 to 2017-18</t>
  </si>
  <si>
    <t>H)</t>
  </si>
  <si>
    <t>REMARKS</t>
  </si>
  <si>
    <t>Use of R.C.C. Block for base padding of PCC pole @ 01 No. /pole and for stay set @ 02 Nos. per stay set.</t>
  </si>
  <si>
    <t>RCC Block (with 6 mm MS Bar) *</t>
  </si>
  <si>
    <t>315 kVA (CEA Design) Copper wound ISI Marked, 11/0.433 kV Distribution Transformer having energy efficiency level '2'</t>
  </si>
  <si>
    <t>500 kVA [CEA Design] Copper Wound ISI Marked, 11/0.433 kV Distribution Transformer having energy efficiency level '2'</t>
  </si>
  <si>
    <t>Concreting of stay &amp; base pad for pole @ 0.2 Cmt/stay and @ 0.05 Cmt for base pad &amp; support @ 0.3 Cmt (1:3:6)</t>
  </si>
  <si>
    <t>3 Ph, 5 Wire line on RSJ 175x85 mm 9.3 Mtr long with max. span 65 Mtrs for size of conductor upto 3x80 Sqmm + 2x30 Sq mm ACSR</t>
  </si>
  <si>
    <t>Concreting of Pole @ 0.05 Cmt for base pad and support @ 0.3 Cmt per pole (1:3:6)</t>
  </si>
  <si>
    <t>Concreting of stay &amp; base pad for pole @ 0.2 Cmt/stay and @ 0.05 Cmt for base pad &amp; concreting of support @ 0.3 Cmt.per pole (1:3:6)</t>
  </si>
  <si>
    <t>Concreting of stay &amp; pole @ 0.2 Cmt/stay and @ 0.3 Cmt/pole for RSJ, @ 0.5 Cmt/pole for H-Beam pole and @ 0.05 Cmt per pole for base padding of R.S.Joist / H-Beam pole  i.e. 9.4 Cmt for RSJ &amp; 13.4 Cmt for H-Beam pole (1:3:6)</t>
  </si>
  <si>
    <t>Use of R.C.C. Block for base padding of PCC pole @ 01 No. / pole and for stay set @ 02 Nos. per stay set.</t>
  </si>
  <si>
    <t>LT 3 phase 5 Wire Aerial Bunched Cable of Size 3x25 + 1x16 + 1x25 sqmm.  (6% sag)</t>
  </si>
  <si>
    <t>1  KM  OF  3  PHASE  5  WIRE  LINE  ON  140 KG. PCC  POLE  8 MTR.  LONG  USING  AB  XLPE  CABLE  FOR  RURAL  AREAS  WITH MAXIMUM  SPAN  50  MTRS.  AND  R.S. JOIST / H-BEAM  POLE  SUPPORT  USING  AB  XLPE  CABLE  WITH  MAXIMUM  SPAN  50  METER  URBAN  AREA</t>
  </si>
  <si>
    <t>25</t>
  </si>
  <si>
    <t>Concreting of piller box @ 0.5 Cmt per box (1:3:6)</t>
  </si>
  <si>
    <t>16 kVA TRANSFORMER (LEVEL-2) * Aluminium Wound</t>
  </si>
  <si>
    <t>25 kVA TRANSFORMER (LEVEL-2)  * Aluminium Wound</t>
  </si>
  <si>
    <t>RCC Block (with 6 mm MS Bar) **</t>
  </si>
  <si>
    <t>27</t>
  </si>
  <si>
    <t>Back filling of poles with boulders @ of 0.3 Cmt per pole</t>
  </si>
  <si>
    <t>LED 9 Watt Lamp</t>
  </si>
  <si>
    <t>LED Lamps with complete fitting-24 W</t>
  </si>
  <si>
    <t>LED Lamps with complete fitting-48 W</t>
  </si>
  <si>
    <t>LED Lamps with complete fitting-60 W</t>
  </si>
  <si>
    <t>3 Way RMU, 2OD + 1VL, One Incomer + One Breaker + One Outgoing, 350 MVA, 650 Amps.</t>
  </si>
  <si>
    <t>4 Way RMU, 2OD + 2VL, (One Incomer + Two  Breakers + One Outgoing, 350 MVA, 650 Amps.</t>
  </si>
  <si>
    <t>5 Way RMU, 2OD + 3VL, (One Incomer + Three Breakers + One Outgoing), 350 MVA, 650 Amps.</t>
  </si>
  <si>
    <t>6 Way RMU, 2OD + 4VL,(One Incomer + Four Breakers + One Outgoing, 350 MVA, 650 Amps.</t>
  </si>
  <si>
    <t>LED 9 W lamp with holder</t>
  </si>
  <si>
    <t>24 W LED Lamps with complete fitting</t>
  </si>
  <si>
    <t>48 W LED Lamps with complete fitting</t>
  </si>
  <si>
    <t>60 W LED Lamps with complete fitting</t>
  </si>
  <si>
    <t>11 kV RMU 3 WAY,2 OD+1 VL, 350 MVA, 650 A.</t>
  </si>
  <si>
    <t>11 kV RMU 4 WAY,2 OD+2 VL, 350 MVA, 650 A.</t>
  </si>
  <si>
    <t>11 kV RMU 5 WAY,2 OD+3 VL, 350 MVA, 650 A.</t>
  </si>
  <si>
    <t>11 kV RMU 6 WAY,2 OD+4 VL, 350 MVA, 650 A.</t>
  </si>
  <si>
    <t>1OD for RMU</t>
  </si>
  <si>
    <t>1VL for 350 MVA, 650 Amps RMU</t>
  </si>
  <si>
    <t xml:space="preserve">INDOOR TYPE 33 KV 10/5A CT:PT CUBICAL UNIT </t>
  </si>
  <si>
    <t xml:space="preserve">INDOOR TYPE 33 KV 25/5A CT:PT CUBICAL UNIT </t>
  </si>
  <si>
    <t>Indoor Type 33 kV Metering Cubical CTPT Unit 10/5 A</t>
  </si>
  <si>
    <t>Indoor Type 33 kV Metering Cubical CTPT Unit 25/5 A</t>
  </si>
  <si>
    <t>Indoor Type 33 kV Metering Cubical CTPT Unit 200/5 A</t>
  </si>
  <si>
    <t xml:space="preserve">INDOOR TYPE 33 KV 200/5A CT:PT CUBICAL UNIT </t>
  </si>
  <si>
    <t>Indoor Type 11 kV Metering Cubical CTPT Unit 10/5 A</t>
  </si>
  <si>
    <t>Indoor Type 11 kV Metering Cubical CTPT Unit 25/5 A</t>
  </si>
  <si>
    <t xml:space="preserve">INDOOR TYPE 11 KV 10/5A CT:PT CUBICAL UNIT </t>
  </si>
  <si>
    <t xml:space="preserve">INDOOR TYPE 11 KV 25/5A CT:PT CUBICAL UNIT </t>
  </si>
  <si>
    <t>(0+1) TYPE - MEANS 11 KV GAS (SF6) INSULATED RMU WITH ONE 630 A LOAD BREAK SWITCH.</t>
  </si>
  <si>
    <t>(0+3) TYPE - MEANS 11 KV GAS (SF6) INSULATED RMU WITH THREE 630 A LOAD BREAK SWITCHES.</t>
  </si>
  <si>
    <t>(0+4) TYPE - MEANS 11 KV GAS (SF6) INSULATED RMU WITH FOUR 630 A LOAD BREAK SWITCHES.</t>
  </si>
  <si>
    <t>(0+2)+BC+(0+2) TYPE - MEANS 11 KV GAS (SF6) INSULATED RMU WITH FOUR NOS. 630 A LOAD BREAK SWITCHES AND ONE BUS COUPLER IN BETWEEN AFTER ISOLATOR.</t>
  </si>
  <si>
    <t>(0+2)+BC+(0+2)+BC+(0+2) TYPE - MEANS 11 KV GAS (SF6) INSULATED RMU WITH SIX NOS. 630 A LOAD BREAK SWITCHES AND ONE BUS COUPLER WITH LBS IN BETWEEN AFTER ISOLATOR.</t>
  </si>
  <si>
    <t xml:space="preserve">Armoured Service Cable - Three Phase, 4 core-10 sq mm </t>
  </si>
  <si>
    <t>Single phase Distn. Box for 09 Connections</t>
  </si>
  <si>
    <t>Three phase Distn. Box for 05 Connections</t>
  </si>
  <si>
    <t>Cable rate reduced by 23%</t>
  </si>
  <si>
    <r>
      <t>Screw driver Set</t>
    </r>
    <r>
      <rPr>
        <b/>
        <sz val="10"/>
        <rFont val="Verdana"/>
        <family val="2"/>
      </rPr>
      <t xml:space="preserve"> </t>
    </r>
  </si>
  <si>
    <t>ISI MARK</t>
  </si>
  <si>
    <t>XMER 16KVA 11/0.4KV ENERGY EFFI. LEVEL2</t>
  </si>
  <si>
    <t>XMER 25KVA 11/0.4KV ENERGY EFFI. LEVEL2</t>
  </si>
  <si>
    <t>XMER 63KVA 11/0.4KV ENERGY EFFI. LEVEL2</t>
  </si>
  <si>
    <t>XMER 100KVA 11/.4KV ENERGY EFFI. LEVEL2</t>
  </si>
  <si>
    <t>XMER 200KVA 11/.4KV ENERGY EFFI. LEVEL2</t>
  </si>
  <si>
    <t>Updated SoR 2017-18</t>
  </si>
  <si>
    <t>Value</t>
  </si>
  <si>
    <t>Material Code</t>
  </si>
  <si>
    <t>2018-19</t>
  </si>
  <si>
    <t>RATE OF STOCK MATERIALS IN SoR OF 2018-19</t>
  </si>
  <si>
    <t>Unit rate for 2018-19</t>
  </si>
  <si>
    <t>Bimetallic clamps for transformer &amp; kiosk</t>
  </si>
  <si>
    <t>STAY SET WITHOUT STAY WIRE 16 mm Paint 11 KV</t>
  </si>
  <si>
    <t>STAY SET WITHOUT STAY WIRE 20 mm (Painted)</t>
  </si>
  <si>
    <t>ITEM DELETED: NOT TO BE USED</t>
  </si>
  <si>
    <t>315 kVA, Copper wound ISI Marked, 11/0.433 kV Distribution Transformer having energy efficiency level '2'</t>
  </si>
  <si>
    <t>500 kVA, Copper wound ISI Marked, 11/0.433 kV Distribution Transformer having energy efficiency level '2'</t>
  </si>
  <si>
    <t>H BEAMS 152X152MM; 37.1 KG/MTR.</t>
  </si>
  <si>
    <t>CONTROL CABLE COP 12 CORE 2.5 SQMM PVC/PVC</t>
  </si>
  <si>
    <t>CONTROL CABLE COP 10 CORE 2.5 SQMM PVC/PVC</t>
  </si>
  <si>
    <t>CONTROL CABLE COP 4 CORE 2.5 SQMM PVC/PVC</t>
  </si>
  <si>
    <t>CONTROL CABLE COP 2 CORE 2.5 SQMM PVC/PVC</t>
  </si>
  <si>
    <t xml:space="preserve">3 Ø 4 Wire 0.2S bulk consumer meter </t>
  </si>
  <si>
    <t>3 Ø 3 Wire 0.2S bulk consumer meter</t>
  </si>
  <si>
    <t>3 Ø 4 Wire 0.5S Consumer meter</t>
  </si>
  <si>
    <t>3 Ø 4 Wire 0.2S 5A bulk consumer meter</t>
  </si>
  <si>
    <t xml:space="preserve">CMRI (Common Meter Reading Instrument) </t>
  </si>
  <si>
    <t>3 Ø 4 Wire 0.2S accuracy class CT operated meter (for __/110 Volts; __/1 Amps; or __/5 Amps)</t>
  </si>
  <si>
    <t>132 kV C.T. 150-75/1-1A</t>
  </si>
  <si>
    <t>132 kV C.T. 100-50/1-1A</t>
  </si>
  <si>
    <t>132 kV C.T. 200-100/1-1A</t>
  </si>
  <si>
    <t>132 kV C.T. 600-300/1-1A</t>
  </si>
  <si>
    <t>132 kV C.T. 300-150/1-1A</t>
  </si>
  <si>
    <t>220 kV C.T. 150-75/1-1A</t>
  </si>
  <si>
    <t>220 kV C.T. 300-150/1-1A</t>
  </si>
  <si>
    <t>220 kV C.T. 600-300/1-1A</t>
  </si>
  <si>
    <t>220 kV C.T. 800-400/1-1A</t>
  </si>
  <si>
    <t>BIN CODE Changed. Old Bin 7130820011</t>
  </si>
  <si>
    <t>Silicon rubber composite insulator / 11 kV  45 kN Polymeric Insulator</t>
  </si>
  <si>
    <t>HARDWARE FOR 75X90 MM LT SHACKLE INSULATOR</t>
  </si>
  <si>
    <t>EARTHING COIL 8SWG GI WIRE 50 MM DIA 450M</t>
  </si>
  <si>
    <t>BIN CODE Changed. Old Bin 7130310660</t>
  </si>
  <si>
    <t>Surge Arrestor</t>
  </si>
  <si>
    <t>Ground connection for Messenger Wire</t>
  </si>
  <si>
    <t>3x50 Sq.mm</t>
  </si>
  <si>
    <t>Marshelling Box (with 10 No. connectors)</t>
  </si>
  <si>
    <t>CT operated electronic static meters with AMR (Composite Unit) with LTCTs / Modem / Meter / Meter Box.</t>
  </si>
  <si>
    <t>11 kV PT Station Type</t>
  </si>
  <si>
    <t>BIN CODE Changed. Old Bin 7131900005</t>
  </si>
  <si>
    <t>33 KV 600 AMPS WITH EARTH SWITCH ISOLATO</t>
  </si>
  <si>
    <t xml:space="preserve">11 kV 3 PH Residual Voltage Transformer </t>
  </si>
  <si>
    <t>0.2% Reactor suitable for 363 kVAR step</t>
  </si>
  <si>
    <t>0.2% Reactor suitable for 726 kVAR step</t>
  </si>
  <si>
    <t xml:space="preserve">Stainless steel strap with buckle (for installation of Service Distribution Box) </t>
  </si>
  <si>
    <t>Cable Cutter</t>
  </si>
  <si>
    <t>11KV MULTICIRCUIT (2F) CONTROL PANELS (S</t>
  </si>
  <si>
    <t>PCC POLE 350 KG; 7,0 MTR LONG</t>
  </si>
  <si>
    <t>Danger boards 33 KV &amp; 11 KV.</t>
  </si>
  <si>
    <t>G.I. Bend 40 mm</t>
  </si>
  <si>
    <t>BIN CODE Changed. Old Bin 7130640030</t>
  </si>
  <si>
    <t>RCC Pipe Type NP-3 (2.5 mtr long) on first class bedding - 600 mm</t>
  </si>
  <si>
    <t>RCC Pipe Type NP-3 (2.5 mtr long) on first class bedding - 900 mm</t>
  </si>
  <si>
    <t>LED 7 Watt lamp with holder</t>
  </si>
  <si>
    <t>LED 12 Watt lamp with holder</t>
  </si>
  <si>
    <t>LED 14 Watt lamp with holder</t>
  </si>
  <si>
    <t>LED 15 Watt lamp with holder</t>
  </si>
  <si>
    <t>LED  Lamps with COMPLETE FITTING - 15 W</t>
  </si>
  <si>
    <t>LED  LAMPS WITH COMPLETE FITTING - 20 W</t>
  </si>
  <si>
    <t>BIN CODE Changed. Old Bin 7130640037</t>
  </si>
  <si>
    <t>M.S. PIPE 200 MM DIA WITH COLLARS</t>
  </si>
  <si>
    <r>
      <t xml:space="preserve">RM </t>
    </r>
    <r>
      <rPr>
        <sz val="9"/>
        <rFont val="Verdana"/>
        <family val="2"/>
      </rPr>
      <t>(medium)</t>
    </r>
  </si>
  <si>
    <t>RATE  EXCLUDING G.S.T.</t>
  </si>
  <si>
    <t>SLEEVE JOINTING ALUMINIUM FOR 0.03 SQ INC</t>
  </si>
  <si>
    <t>SLEEVE REPAIR ALUMINIUM FOR .2 SQ INCH AC</t>
  </si>
  <si>
    <t>LIGHTNING ARRESTORS 11 KV gapless type.</t>
  </si>
  <si>
    <t>Job</t>
  </si>
  <si>
    <t>VOLTAGE TRANSFORMER 33 KV / 110 VOLTS SINGLE</t>
  </si>
  <si>
    <t>33/11 kV S/S (Name Plate) Board</t>
  </si>
  <si>
    <t>NEW BIN CODE ALLOTED ; RATE  EXCLUDING G.S.T.</t>
  </si>
  <si>
    <t xml:space="preserve">NEW BIN CODE ALLOTED </t>
  </si>
  <si>
    <t>Earlier Total cost consisted of material and labour as a whole, now only material cost (excluding labour &amp; G.S.T.) is taken.</t>
  </si>
  <si>
    <t xml:space="preserve">only material cost (excluding labour &amp; G.S.T.) </t>
  </si>
  <si>
    <t>Small Steel Almirah 50''</t>
  </si>
  <si>
    <t>STEEL ALMIRAH SMALL SIZE</t>
  </si>
  <si>
    <t>S-TYPE STEEL CHAIR WITH TEAK WOOD HAND</t>
  </si>
  <si>
    <t xml:space="preserve">Office Chair cane seat &amp; back with full arms rest </t>
  </si>
  <si>
    <t>COMPARATIVE STATEMENT OF RATES FROM YEAR  2017-18 (REVISED) to 2018-19</t>
  </si>
  <si>
    <t>2017-18 (REV.)</t>
  </si>
  <si>
    <t>Using HDD Technique for Railway works with 3 core U/G XLPE 400 sqmm Cable</t>
  </si>
  <si>
    <t>Using HDD Technique for Road crossing works with 3 core U/G XLPE 400 sqmm Cable</t>
  </si>
  <si>
    <t>Schedule for laying of 1 km. 33 kV Cable Direct in Ground Single Cable Line using Open Trench Method.</t>
  </si>
  <si>
    <t xml:space="preserve">A-11 </t>
  </si>
  <si>
    <t>NEW ADDED</t>
  </si>
  <si>
    <t>A-11(i)</t>
  </si>
  <si>
    <t>A-11(ii)</t>
  </si>
  <si>
    <t>11 kV line on RS Joist (175X85 mm) 11.0 Meters long with</t>
  </si>
  <si>
    <t xml:space="preserve">11 kV under ground cable crossing under existing Railway track / Road for 60 mtr long Rail / Road corridor route length of HDPE pipe, under 2.5 mtr deep for ground level single feeder line </t>
  </si>
  <si>
    <t>Using HDD Technique for Railway works on 3x240 sqmm. U/G XLPE Cable</t>
  </si>
  <si>
    <t>Using HDD Technique for Road crossing works on 3x240 sqmm. U/G XLPE Cable</t>
  </si>
  <si>
    <t>Laying of 1 Km 11 kV Cable direct in ground single cable Line using open trench method</t>
  </si>
  <si>
    <t>LT Shackle insulator (90x75 mm) including cut point / angle location</t>
  </si>
  <si>
    <t>3 phase line on RS Joist 175x85 mm, 19.495 Kg/Mtr, 9.3 Mtr long poles with following XLPE Cable</t>
  </si>
  <si>
    <t>RATE OF ALL MATERIALS AR INCLUSIVE OF G.S.T. UNLESS MENTIONED SPECIFICALLY IN REMARKS COLUMN</t>
  </si>
  <si>
    <t>Transformer Oil Dielectric Breakdown testkit</t>
  </si>
  <si>
    <t>11 kV Fault Passage Indicator for Overhead line</t>
  </si>
  <si>
    <r>
      <t xml:space="preserve">NEW BIN CODE ALLOTED; </t>
    </r>
    <r>
      <rPr>
        <b/>
        <sz val="11"/>
        <rFont val="Arial"/>
        <family val="2"/>
      </rPr>
      <t xml:space="preserve">RATE  EXCLUDING G.S.T. </t>
    </r>
  </si>
  <si>
    <t xml:space="preserve">SCREW DRIVER INSULATED 255 MM 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</si>
</sst>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0.000"/>
    <numFmt numFmtId="173" formatCode="0.00000"/>
    <numFmt numFmtId="174" formatCode="0.0000"/>
    <numFmt numFmtId="175" formatCode="0.0"/>
    <numFmt numFmtId="176" formatCode="0.00;[Red]0.00"/>
    <numFmt numFmtId="177" formatCode="[$-409]dddd\,\ mmmm\ dd\,\ yyyy"/>
    <numFmt numFmtId="178" formatCode="[$-409]h:mm:ss\ AM/PM"/>
    <numFmt numFmtId="179" formatCode="0.000000"/>
  </numFmts>
  <fonts count="9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1"/>
      <name val="Calibri"/>
      <family val="2"/>
    </font>
    <font>
      <b/>
      <sz val="16"/>
      <name val="Arial"/>
      <family val="2"/>
    </font>
    <font>
      <sz val="11"/>
      <name val="Arial"/>
      <family val="2"/>
    </font>
    <font>
      <b/>
      <sz val="11"/>
      <name val="Calibri"/>
      <family val="2"/>
    </font>
    <font>
      <sz val="10"/>
      <name val="Calibri"/>
      <family val="2"/>
    </font>
    <font>
      <sz val="16"/>
      <name val="Arial"/>
      <family val="2"/>
    </font>
    <font>
      <b/>
      <u val="single"/>
      <sz val="14"/>
      <name val="Arial"/>
      <family val="2"/>
    </font>
    <font>
      <b/>
      <u val="single"/>
      <sz val="12"/>
      <name val="Arial"/>
      <family val="2"/>
    </font>
    <font>
      <sz val="11.5"/>
      <name val="Arial"/>
      <family val="2"/>
    </font>
    <font>
      <sz val="11"/>
      <color indexed="8"/>
      <name val="Arial"/>
      <family val="2"/>
    </font>
    <font>
      <b/>
      <u val="single"/>
      <sz val="11"/>
      <name val="Arial"/>
      <family val="2"/>
    </font>
    <font>
      <b/>
      <sz val="10"/>
      <name val="Verdana"/>
      <family val="2"/>
    </font>
    <font>
      <sz val="10.5"/>
      <name val="Arial"/>
      <family val="2"/>
    </font>
    <font>
      <b/>
      <u val="single"/>
      <sz val="16"/>
      <name val="Arial"/>
      <family val="2"/>
    </font>
    <font>
      <b/>
      <sz val="10.5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b/>
      <sz val="11.5"/>
      <name val="Arial"/>
      <family val="2"/>
    </font>
    <font>
      <sz val="10"/>
      <name val="Verdana"/>
      <family val="2"/>
    </font>
    <font>
      <sz val="13"/>
      <name val="Arial"/>
      <family val="2"/>
    </font>
    <font>
      <b/>
      <sz val="13"/>
      <name val="Arial"/>
      <family val="2"/>
    </font>
    <font>
      <sz val="11"/>
      <name val="Times New Roman"/>
      <family val="1"/>
    </font>
    <font>
      <b/>
      <sz val="20"/>
      <name val="Arial"/>
      <family val="2"/>
    </font>
    <font>
      <b/>
      <sz val="14"/>
      <name val="Calibri"/>
      <family val="2"/>
    </font>
    <font>
      <b/>
      <sz val="28"/>
      <name val="Arial"/>
      <family val="2"/>
    </font>
    <font>
      <sz val="10"/>
      <color indexed="10"/>
      <name val="Verdana"/>
      <family val="2"/>
    </font>
    <font>
      <sz val="10"/>
      <color indexed="8"/>
      <name val="Verdana"/>
      <family val="2"/>
    </font>
    <font>
      <vertAlign val="subscript"/>
      <sz val="10"/>
      <name val="Verdana"/>
      <family val="2"/>
    </font>
    <font>
      <sz val="14"/>
      <color indexed="10"/>
      <name val="Arial"/>
      <family val="2"/>
    </font>
    <font>
      <sz val="12"/>
      <color indexed="10"/>
      <name val="Arial"/>
      <family val="2"/>
    </font>
    <font>
      <sz val="10"/>
      <color indexed="9"/>
      <name val="Verdana"/>
      <family val="2"/>
    </font>
    <font>
      <sz val="9"/>
      <name val="Arial"/>
      <family val="2"/>
    </font>
    <font>
      <sz val="10"/>
      <color indexed="15"/>
      <name val="Arial"/>
      <family val="2"/>
    </font>
    <font>
      <sz val="13.5"/>
      <name val="Arial"/>
      <family val="2"/>
    </font>
    <font>
      <b/>
      <u val="single"/>
      <sz val="13"/>
      <name val="Arial"/>
      <family val="2"/>
    </font>
    <font>
      <u val="single"/>
      <sz val="12"/>
      <name val="Arial"/>
      <family val="2"/>
    </font>
    <font>
      <sz val="8"/>
      <name val="Verdana"/>
      <family val="2"/>
    </font>
    <font>
      <b/>
      <i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u val="single"/>
      <sz val="11.5"/>
      <name val="Arial"/>
      <family val="2"/>
    </font>
    <font>
      <b/>
      <u val="single"/>
      <sz val="11"/>
      <color indexed="8"/>
      <name val="Arial"/>
      <family val="2"/>
    </font>
    <font>
      <b/>
      <sz val="11"/>
      <color indexed="8"/>
      <name val="Arial"/>
      <family val="2"/>
    </font>
    <font>
      <sz val="12"/>
      <name val="Arial Narrow"/>
      <family val="2"/>
    </font>
    <font>
      <sz val="10"/>
      <color indexed="13"/>
      <name val="Arial"/>
      <family val="2"/>
    </font>
    <font>
      <sz val="11.5"/>
      <name val="Copperplate Gothic Bold"/>
      <family val="2"/>
    </font>
    <font>
      <sz val="9"/>
      <name val="Verdana"/>
      <family val="2"/>
    </font>
    <font>
      <b/>
      <sz val="10"/>
      <color indexed="9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vertAlign val="superscript"/>
      <sz val="10"/>
      <name val="Arial"/>
      <family val="2"/>
    </font>
    <font>
      <b/>
      <sz val="11"/>
      <name val="Verdana"/>
      <family val="2"/>
    </font>
    <font>
      <b/>
      <sz val="10.5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9" fillId="2" borderId="0" applyNumberFormat="0" applyBorder="0" applyAlignment="0" applyProtection="0"/>
    <xf numFmtId="0" fontId="79" fillId="3" borderId="0" applyNumberFormat="0" applyBorder="0" applyAlignment="0" applyProtection="0"/>
    <xf numFmtId="0" fontId="79" fillId="4" borderId="0" applyNumberFormat="0" applyBorder="0" applyAlignment="0" applyProtection="0"/>
    <xf numFmtId="0" fontId="79" fillId="5" borderId="0" applyNumberFormat="0" applyBorder="0" applyAlignment="0" applyProtection="0"/>
    <xf numFmtId="0" fontId="79" fillId="6" borderId="0" applyNumberFormat="0" applyBorder="0" applyAlignment="0" applyProtection="0"/>
    <xf numFmtId="0" fontId="79" fillId="7" borderId="0" applyNumberFormat="0" applyBorder="0" applyAlignment="0" applyProtection="0"/>
    <xf numFmtId="0" fontId="79" fillId="8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80" fillId="20" borderId="0" applyNumberFormat="0" applyBorder="0" applyAlignment="0" applyProtection="0"/>
    <xf numFmtId="0" fontId="80" fillId="21" borderId="0" applyNumberFormat="0" applyBorder="0" applyAlignment="0" applyProtection="0"/>
    <xf numFmtId="0" fontId="80" fillId="22" borderId="0" applyNumberFormat="0" applyBorder="0" applyAlignment="0" applyProtection="0"/>
    <xf numFmtId="0" fontId="80" fillId="23" borderId="0" applyNumberFormat="0" applyBorder="0" applyAlignment="0" applyProtection="0"/>
    <xf numFmtId="0" fontId="80" fillId="24" borderId="0" applyNumberFormat="0" applyBorder="0" applyAlignment="0" applyProtection="0"/>
    <xf numFmtId="0" fontId="80" fillId="25" borderId="0" applyNumberFormat="0" applyBorder="0" applyAlignment="0" applyProtection="0"/>
    <xf numFmtId="0" fontId="81" fillId="26" borderId="0" applyNumberFormat="0" applyBorder="0" applyAlignment="0" applyProtection="0"/>
    <xf numFmtId="0" fontId="82" fillId="27" borderId="1" applyNumberFormat="0" applyAlignment="0" applyProtection="0"/>
    <xf numFmtId="0" fontId="8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85" fillId="29" borderId="0" applyNumberFormat="0" applyBorder="0" applyAlignment="0" applyProtection="0"/>
    <xf numFmtId="0" fontId="86" fillId="0" borderId="3" applyNumberFormat="0" applyFill="0" applyAlignment="0" applyProtection="0"/>
    <xf numFmtId="0" fontId="87" fillId="0" borderId="4" applyNumberFormat="0" applyFill="0" applyAlignment="0" applyProtection="0"/>
    <xf numFmtId="0" fontId="88" fillId="0" borderId="5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30" borderId="1" applyNumberFormat="0" applyAlignment="0" applyProtection="0"/>
    <xf numFmtId="0" fontId="91" fillId="0" borderId="6" applyNumberFormat="0" applyFill="0" applyAlignment="0" applyProtection="0"/>
    <xf numFmtId="0" fontId="92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93" fillId="27" borderId="8" applyNumberFormat="0" applyAlignment="0" applyProtection="0"/>
    <xf numFmtId="9" fontId="0" fillId="0" borderId="0" applyFon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9" applyNumberFormat="0" applyFill="0" applyAlignment="0" applyProtection="0"/>
    <xf numFmtId="0" fontId="96" fillId="0" borderId="0" applyNumberFormat="0" applyFill="0" applyBorder="0" applyAlignment="0" applyProtection="0"/>
  </cellStyleXfs>
  <cellXfs count="1182">
    <xf numFmtId="0" fontId="0" fillId="0" borderId="0" xfId="0" applyAlignment="1">
      <alignment/>
    </xf>
    <xf numFmtId="0" fontId="0" fillId="0" borderId="0" xfId="0" applyFill="1" applyAlignment="1">
      <alignment/>
    </xf>
    <xf numFmtId="2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2" fontId="5" fillId="0" borderId="0" xfId="0" applyNumberFormat="1" applyFont="1" applyFill="1" applyAlignment="1">
      <alignment horizontal="center"/>
    </xf>
    <xf numFmtId="0" fontId="0" fillId="0" borderId="0" xfId="0" applyNumberFormat="1" applyFill="1" applyAlignment="1">
      <alignment/>
    </xf>
    <xf numFmtId="0" fontId="4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top" wrapText="1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0" fillId="0" borderId="0" xfId="0" applyFill="1" applyAlignment="1">
      <alignment horizontal="left" vertical="top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center"/>
    </xf>
    <xf numFmtId="49" fontId="0" fillId="0" borderId="0" xfId="0" applyNumberFormat="1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0" fontId="11" fillId="0" borderId="0" xfId="0" applyFont="1" applyFill="1" applyAlignment="1">
      <alignment vertical="center"/>
    </xf>
    <xf numFmtId="0" fontId="8" fillId="0" borderId="0" xfId="0" applyFont="1" applyFill="1" applyAlignment="1">
      <alignment/>
    </xf>
    <xf numFmtId="2" fontId="11" fillId="0" borderId="0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0" fontId="11" fillId="0" borderId="0" xfId="0" applyFont="1" applyFill="1" applyAlignment="1">
      <alignment horizontal="center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0" xfId="0" applyFill="1" applyBorder="1" applyAlignment="1">
      <alignment vertical="center"/>
    </xf>
    <xf numFmtId="49" fontId="5" fillId="0" borderId="0" xfId="0" applyNumberFormat="1" applyFont="1" applyFill="1" applyBorder="1" applyAlignment="1">
      <alignment vertical="center" wrapText="1"/>
    </xf>
    <xf numFmtId="0" fontId="11" fillId="0" borderId="0" xfId="0" applyFont="1" applyFill="1" applyAlignment="1">
      <alignment/>
    </xf>
    <xf numFmtId="49" fontId="11" fillId="0" borderId="0" xfId="0" applyNumberFormat="1" applyFont="1" applyFill="1" applyBorder="1" applyAlignment="1">
      <alignment vertical="center" wrapText="1"/>
    </xf>
    <xf numFmtId="0" fontId="5" fillId="0" borderId="0" xfId="0" applyFont="1" applyFill="1" applyAlignment="1">
      <alignment vertical="center"/>
    </xf>
    <xf numFmtId="49" fontId="11" fillId="0" borderId="13" xfId="0" applyNumberFormat="1" applyFont="1" applyFill="1" applyBorder="1" applyAlignment="1">
      <alignment vertical="center" wrapText="1"/>
    </xf>
    <xf numFmtId="0" fontId="17" fillId="0" borderId="0" xfId="0" applyFont="1" applyFill="1" applyBorder="1" applyAlignment="1">
      <alignment vertical="center" wrapText="1"/>
    </xf>
    <xf numFmtId="0" fontId="11" fillId="0" borderId="13" xfId="0" applyFont="1" applyFill="1" applyBorder="1" applyAlignment="1">
      <alignment vertical="center"/>
    </xf>
    <xf numFmtId="49" fontId="0" fillId="0" borderId="13" xfId="0" applyNumberFormat="1" applyFont="1" applyFill="1" applyBorder="1" applyAlignment="1">
      <alignment vertical="center" wrapText="1"/>
    </xf>
    <xf numFmtId="2" fontId="11" fillId="0" borderId="0" xfId="58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center" wrapText="1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vertical="center"/>
    </xf>
    <xf numFmtId="49" fontId="11" fillId="0" borderId="10" xfId="0" applyNumberFormat="1" applyFont="1" applyFill="1" applyBorder="1" applyAlignment="1">
      <alignment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vertical="top" wrapText="1"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 vertical="top" wrapText="1"/>
    </xf>
    <xf numFmtId="2" fontId="0" fillId="0" borderId="0" xfId="0" applyNumberFormat="1" applyFill="1" applyAlignment="1">
      <alignment horizontal="center" vertical="center"/>
    </xf>
    <xf numFmtId="2" fontId="0" fillId="0" borderId="0" xfId="0" applyNumberFormat="1" applyFill="1" applyAlignment="1">
      <alignment/>
    </xf>
    <xf numFmtId="0" fontId="0" fillId="0" borderId="0" xfId="0" applyFill="1" applyAlignment="1">
      <alignment vertical="top"/>
    </xf>
    <xf numFmtId="0" fontId="2" fillId="0" borderId="0" xfId="0" applyFont="1" applyFill="1" applyBorder="1" applyAlignment="1">
      <alignment vertical="center" wrapText="1"/>
    </xf>
    <xf numFmtId="49" fontId="0" fillId="0" borderId="13" xfId="0" applyNumberFormat="1" applyFont="1" applyFill="1" applyBorder="1" applyAlignment="1">
      <alignment vertical="center" wrapText="1"/>
    </xf>
    <xf numFmtId="49" fontId="0" fillId="0" borderId="0" xfId="0" applyNumberFormat="1" applyFont="1" applyFill="1" applyAlignment="1">
      <alignment vertical="center" wrapText="1"/>
    </xf>
    <xf numFmtId="0" fontId="0" fillId="0" borderId="13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/>
    </xf>
    <xf numFmtId="0" fontId="0" fillId="0" borderId="0" xfId="0" applyFont="1" applyFill="1" applyAlignment="1">
      <alignment vertical="top"/>
    </xf>
    <xf numFmtId="2" fontId="0" fillId="0" borderId="0" xfId="0" applyNumberFormat="1" applyFont="1" applyFill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 vertical="top" wrapText="1"/>
    </xf>
    <xf numFmtId="0" fontId="8" fillId="0" borderId="0" xfId="0" applyFont="1" applyFill="1" applyAlignment="1">
      <alignment vertical="top" wrapText="1"/>
    </xf>
    <xf numFmtId="0" fontId="8" fillId="0" borderId="0" xfId="0" applyFont="1" applyFill="1" applyAlignment="1">
      <alignment horizontal="center" vertical="top" wrapText="1"/>
    </xf>
    <xf numFmtId="0" fontId="8" fillId="0" borderId="0" xfId="0" applyFont="1" applyFill="1" applyBorder="1" applyAlignment="1">
      <alignment vertical="top" wrapText="1"/>
    </xf>
    <xf numFmtId="0" fontId="8" fillId="0" borderId="14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vertical="center" wrapText="1"/>
    </xf>
    <xf numFmtId="0" fontId="33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5" fillId="0" borderId="0" xfId="0" applyFont="1" applyFill="1" applyAlignment="1">
      <alignment vertical="top" wrapText="1"/>
    </xf>
    <xf numFmtId="0" fontId="10" fillId="0" borderId="0" xfId="0" applyFont="1" applyFill="1" applyBorder="1" applyAlignment="1">
      <alignment vertical="center" wrapText="1"/>
    </xf>
    <xf numFmtId="2" fontId="14" fillId="0" borderId="0" xfId="0" applyNumberFormat="1" applyFont="1" applyFill="1" applyAlignment="1">
      <alignment horizontal="center" vertical="top" wrapText="1"/>
    </xf>
    <xf numFmtId="0" fontId="14" fillId="0" borderId="0" xfId="0" applyFont="1" applyFill="1" applyAlignment="1">
      <alignment vertical="top" wrapText="1"/>
    </xf>
    <xf numFmtId="0" fontId="27" fillId="0" borderId="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31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 vertical="top" wrapText="1"/>
    </xf>
    <xf numFmtId="0" fontId="41" fillId="0" borderId="0" xfId="0" applyFont="1" applyFill="1" applyAlignment="1">
      <alignment vertical="top" wrapText="1"/>
    </xf>
    <xf numFmtId="0" fontId="4" fillId="0" borderId="0" xfId="0" applyFont="1" applyFill="1" applyBorder="1" applyAlignment="1" quotePrefix="1">
      <alignment horizontal="center" vertical="top" wrapText="1"/>
    </xf>
    <xf numFmtId="0" fontId="28" fillId="0" borderId="0" xfId="0" applyFont="1" applyFill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40" fillId="0" borderId="0" xfId="0" applyFont="1" applyFill="1" applyAlignment="1">
      <alignment vertical="top" wrapText="1"/>
    </xf>
    <xf numFmtId="0" fontId="44" fillId="0" borderId="0" xfId="0" applyFont="1" applyFill="1" applyAlignment="1">
      <alignment/>
    </xf>
    <xf numFmtId="0" fontId="16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ont="1" applyFill="1" applyBorder="1" applyAlignment="1">
      <alignment vertical="top" wrapText="1"/>
    </xf>
    <xf numFmtId="0" fontId="11" fillId="0" borderId="13" xfId="0" applyFont="1" applyFill="1" applyBorder="1" applyAlignment="1">
      <alignment vertical="center" wrapText="1"/>
    </xf>
    <xf numFmtId="0" fontId="11" fillId="0" borderId="0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vertical="top" wrapText="1"/>
    </xf>
    <xf numFmtId="0" fontId="27" fillId="0" borderId="0" xfId="0" applyFont="1" applyFill="1" applyBorder="1" applyAlignment="1">
      <alignment horizontal="center" vertical="top" wrapText="1"/>
    </xf>
    <xf numFmtId="0" fontId="27" fillId="0" borderId="0" xfId="0" applyNumberFormat="1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49" fontId="0" fillId="0" borderId="0" xfId="0" applyNumberFormat="1" applyFont="1" applyFill="1" applyBorder="1" applyAlignment="1">
      <alignment vertical="center" wrapText="1"/>
    </xf>
    <xf numFmtId="1" fontId="0" fillId="0" borderId="0" xfId="0" applyNumberFormat="1" applyFill="1" applyAlignment="1">
      <alignment/>
    </xf>
    <xf numFmtId="1" fontId="5" fillId="0" borderId="0" xfId="0" applyNumberFormat="1" applyFont="1" applyFill="1" applyBorder="1" applyAlignment="1">
      <alignment horizontal="center" vertical="top" wrapText="1"/>
    </xf>
    <xf numFmtId="2" fontId="5" fillId="0" borderId="0" xfId="0" applyNumberFormat="1" applyFont="1" applyFill="1" applyBorder="1" applyAlignment="1">
      <alignment horizontal="center" vertical="top" wrapText="1"/>
    </xf>
    <xf numFmtId="2" fontId="11" fillId="0" borderId="0" xfId="0" applyNumberFormat="1" applyFont="1" applyFill="1" applyBorder="1" applyAlignment="1">
      <alignment horizontal="center" vertical="center"/>
    </xf>
    <xf numFmtId="0" fontId="46" fillId="0" borderId="0" xfId="0" applyFont="1" applyFill="1" applyAlignment="1">
      <alignment/>
    </xf>
    <xf numFmtId="0" fontId="11" fillId="0" borderId="1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vertical="top" wrapText="1"/>
    </xf>
    <xf numFmtId="0" fontId="29" fillId="0" borderId="10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vertical="top" wrapText="1"/>
    </xf>
    <xf numFmtId="0" fontId="4" fillId="0" borderId="16" xfId="0" applyFont="1" applyFill="1" applyBorder="1" applyAlignment="1">
      <alignment vertical="top" wrapText="1"/>
    </xf>
    <xf numFmtId="0" fontId="6" fillId="0" borderId="13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top" wrapText="1"/>
    </xf>
    <xf numFmtId="1" fontId="8" fillId="0" borderId="10" xfId="0" applyNumberFormat="1" applyFont="1" applyFill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vertical="top" wrapText="1"/>
    </xf>
    <xf numFmtId="0" fontId="6" fillId="0" borderId="18" xfId="0" applyFont="1" applyFill="1" applyBorder="1" applyAlignment="1">
      <alignment vertical="top" wrapText="1"/>
    </xf>
    <xf numFmtId="0" fontId="5" fillId="0" borderId="18" xfId="0" applyFont="1" applyFill="1" applyBorder="1" applyAlignment="1">
      <alignment vertical="top" wrapText="1"/>
    </xf>
    <xf numFmtId="1" fontId="6" fillId="0" borderId="18" xfId="0" applyNumberFormat="1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vertical="top" wrapText="1"/>
    </xf>
    <xf numFmtId="1" fontId="6" fillId="0" borderId="15" xfId="0" applyNumberFormat="1" applyFont="1" applyFill="1" applyBorder="1" applyAlignment="1">
      <alignment vertical="top" wrapText="1"/>
    </xf>
    <xf numFmtId="0" fontId="6" fillId="0" borderId="19" xfId="0" applyFont="1" applyFill="1" applyBorder="1" applyAlignment="1">
      <alignment vertical="top" wrapText="1"/>
    </xf>
    <xf numFmtId="0" fontId="6" fillId="0" borderId="20" xfId="0" applyFont="1" applyFill="1" applyBorder="1" applyAlignment="1">
      <alignment vertical="top" wrapText="1"/>
    </xf>
    <xf numFmtId="0" fontId="5" fillId="0" borderId="20" xfId="0" applyFont="1" applyFill="1" applyBorder="1" applyAlignment="1">
      <alignment vertical="top" wrapText="1"/>
    </xf>
    <xf numFmtId="1" fontId="6" fillId="0" borderId="20" xfId="0" applyNumberFormat="1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1" fontId="6" fillId="0" borderId="0" xfId="0" applyNumberFormat="1" applyFont="1" applyFill="1" applyBorder="1" applyAlignment="1">
      <alignment vertical="top" wrapText="1"/>
    </xf>
    <xf numFmtId="2" fontId="8" fillId="0" borderId="0" xfId="0" applyNumberFormat="1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vertical="top" wrapText="1"/>
    </xf>
    <xf numFmtId="0" fontId="6" fillId="0" borderId="15" xfId="0" applyFont="1" applyFill="1" applyBorder="1" applyAlignment="1">
      <alignment vertical="top" wrapText="1"/>
    </xf>
    <xf numFmtId="1" fontId="6" fillId="0" borderId="16" xfId="0" applyNumberFormat="1" applyFont="1" applyFill="1" applyBorder="1" applyAlignment="1">
      <alignment vertical="top" wrapText="1"/>
    </xf>
    <xf numFmtId="2" fontId="8" fillId="0" borderId="13" xfId="0" applyNumberFormat="1" applyFont="1" applyFill="1" applyBorder="1" applyAlignment="1">
      <alignment vertical="top" wrapText="1"/>
    </xf>
    <xf numFmtId="2" fontId="8" fillId="0" borderId="0" xfId="0" applyNumberFormat="1" applyFont="1" applyFill="1" applyBorder="1" applyAlignment="1">
      <alignment vertical="top" wrapText="1"/>
    </xf>
    <xf numFmtId="2" fontId="4" fillId="0" borderId="0" xfId="0" applyNumberFormat="1" applyFont="1" applyFill="1" applyBorder="1" applyAlignment="1">
      <alignment vertical="top" wrapText="1"/>
    </xf>
    <xf numFmtId="1" fontId="8" fillId="0" borderId="0" xfId="0" applyNumberFormat="1" applyFont="1" applyFill="1" applyBorder="1" applyAlignment="1">
      <alignment vertical="top" wrapText="1"/>
    </xf>
    <xf numFmtId="0" fontId="6" fillId="0" borderId="10" xfId="0" applyFont="1" applyFill="1" applyBorder="1" applyAlignment="1" quotePrefix="1">
      <alignment vertical="top" wrapText="1"/>
    </xf>
    <xf numFmtId="0" fontId="6" fillId="0" borderId="11" xfId="0" applyFont="1" applyFill="1" applyBorder="1" applyAlignment="1" quotePrefix="1">
      <alignment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 horizontal="center" vertical="top" wrapText="1"/>
    </xf>
    <xf numFmtId="1" fontId="8" fillId="0" borderId="11" xfId="0" applyNumberFormat="1" applyFont="1" applyFill="1" applyBorder="1" applyAlignment="1">
      <alignment horizontal="center" vertical="top" wrapText="1"/>
    </xf>
    <xf numFmtId="1" fontId="8" fillId="0" borderId="20" xfId="0" applyNumberFormat="1" applyFont="1" applyFill="1" applyBorder="1" applyAlignment="1">
      <alignment horizontal="center" vertical="top" wrapText="1"/>
    </xf>
    <xf numFmtId="0" fontId="6" fillId="0" borderId="14" xfId="0" applyFont="1" applyFill="1" applyBorder="1" applyAlignment="1" quotePrefix="1">
      <alignment vertical="top" wrapText="1"/>
    </xf>
    <xf numFmtId="0" fontId="6" fillId="0" borderId="15" xfId="0" applyFont="1" applyFill="1" applyBorder="1" applyAlignment="1" quotePrefix="1">
      <alignment vertical="top" wrapText="1"/>
    </xf>
    <xf numFmtId="0" fontId="5" fillId="0" borderId="15" xfId="0" applyFont="1" applyFill="1" applyBorder="1" applyAlignment="1" quotePrefix="1">
      <alignment vertical="top" wrapText="1"/>
    </xf>
    <xf numFmtId="1" fontId="6" fillId="0" borderId="15" xfId="0" applyNumberFormat="1" applyFont="1" applyFill="1" applyBorder="1" applyAlignment="1" quotePrefix="1">
      <alignment vertical="top" wrapText="1"/>
    </xf>
    <xf numFmtId="0" fontId="6" fillId="0" borderId="13" xfId="0" applyFont="1" applyFill="1" applyBorder="1" applyAlignment="1" quotePrefix="1">
      <alignment vertical="top" wrapText="1"/>
    </xf>
    <xf numFmtId="0" fontId="6" fillId="0" borderId="0" xfId="0" applyFont="1" applyFill="1" applyBorder="1" applyAlignment="1">
      <alignment horizontal="center" vertical="top" wrapText="1"/>
    </xf>
    <xf numFmtId="1" fontId="8" fillId="0" borderId="0" xfId="0" applyNumberFormat="1" applyFont="1" applyFill="1" applyBorder="1" applyAlignment="1">
      <alignment horizontal="center" vertical="top" wrapText="1"/>
    </xf>
    <xf numFmtId="2" fontId="8" fillId="0" borderId="12" xfId="0" applyNumberFormat="1" applyFont="1" applyFill="1" applyBorder="1" applyAlignment="1">
      <alignment horizontal="center" vertical="top" wrapText="1"/>
    </xf>
    <xf numFmtId="1" fontId="6" fillId="0" borderId="10" xfId="0" applyNumberFormat="1" applyFont="1" applyFill="1" applyBorder="1" applyAlignment="1" quotePrefix="1">
      <alignment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 quotePrefix="1">
      <alignment vertical="top" wrapText="1"/>
    </xf>
    <xf numFmtId="2" fontId="8" fillId="0" borderId="14" xfId="0" applyNumberFormat="1" applyFont="1" applyFill="1" applyBorder="1" applyAlignment="1">
      <alignment vertical="top" wrapText="1"/>
    </xf>
    <xf numFmtId="2" fontId="4" fillId="0" borderId="15" xfId="0" applyNumberFormat="1" applyFont="1" applyFill="1" applyBorder="1" applyAlignment="1">
      <alignment vertical="top" wrapText="1"/>
    </xf>
    <xf numFmtId="2" fontId="8" fillId="0" borderId="15" xfId="0" applyNumberFormat="1" applyFont="1" applyFill="1" applyBorder="1" applyAlignment="1">
      <alignment vertical="top" wrapText="1"/>
    </xf>
    <xf numFmtId="1" fontId="8" fillId="0" borderId="15" xfId="0" applyNumberFormat="1" applyFont="1" applyFill="1" applyBorder="1" applyAlignment="1">
      <alignment vertical="top" wrapText="1"/>
    </xf>
    <xf numFmtId="0" fontId="5" fillId="0" borderId="15" xfId="0" applyFont="1" applyFill="1" applyBorder="1" applyAlignment="1">
      <alignment vertical="top" wrapText="1"/>
    </xf>
    <xf numFmtId="0" fontId="6" fillId="0" borderId="15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vertical="top" wrapText="1"/>
    </xf>
    <xf numFmtId="0" fontId="6" fillId="0" borderId="19" xfId="0" applyFont="1" applyFill="1" applyBorder="1" applyAlignment="1" quotePrefix="1">
      <alignment vertical="top" wrapText="1"/>
    </xf>
    <xf numFmtId="0" fontId="6" fillId="0" borderId="20" xfId="0" applyFont="1" applyFill="1" applyBorder="1" applyAlignment="1" quotePrefix="1">
      <alignment vertical="top" wrapText="1"/>
    </xf>
    <xf numFmtId="0" fontId="5" fillId="0" borderId="20" xfId="0" applyFont="1" applyFill="1" applyBorder="1" applyAlignment="1" quotePrefix="1">
      <alignment vertical="top" wrapText="1"/>
    </xf>
    <xf numFmtId="1" fontId="6" fillId="0" borderId="20" xfId="0" applyNumberFormat="1" applyFont="1" applyFill="1" applyBorder="1" applyAlignment="1" quotePrefix="1">
      <alignment vertical="top" wrapText="1"/>
    </xf>
    <xf numFmtId="0" fontId="37" fillId="0" borderId="10" xfId="0" applyFont="1" applyFill="1" applyBorder="1" applyAlignment="1">
      <alignment horizontal="center" vertical="top" wrapText="1"/>
    </xf>
    <xf numFmtId="0" fontId="37" fillId="0" borderId="17" xfId="0" applyFont="1" applyFill="1" applyBorder="1" applyAlignment="1">
      <alignment vertical="top" wrapText="1"/>
    </xf>
    <xf numFmtId="0" fontId="37" fillId="0" borderId="18" xfId="0" applyFont="1" applyFill="1" applyBorder="1" applyAlignment="1">
      <alignment vertical="top" wrapText="1"/>
    </xf>
    <xf numFmtId="0" fontId="38" fillId="0" borderId="18" xfId="0" applyFont="1" applyFill="1" applyBorder="1" applyAlignment="1">
      <alignment vertical="top" wrapText="1"/>
    </xf>
    <xf numFmtId="1" fontId="37" fillId="0" borderId="18" xfId="0" applyNumberFormat="1" applyFont="1" applyFill="1" applyBorder="1" applyAlignment="1">
      <alignment vertical="top" wrapText="1"/>
    </xf>
    <xf numFmtId="0" fontId="37" fillId="0" borderId="11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vertical="top" wrapText="1"/>
    </xf>
    <xf numFmtId="1" fontId="8" fillId="0" borderId="12" xfId="0" applyNumberFormat="1" applyFont="1" applyFill="1" applyBorder="1" applyAlignment="1">
      <alignment horizontal="center" vertical="top" wrapText="1"/>
    </xf>
    <xf numFmtId="0" fontId="37" fillId="0" borderId="13" xfId="0" applyFont="1" applyFill="1" applyBorder="1" applyAlignment="1">
      <alignment vertical="top" wrapText="1"/>
    </xf>
    <xf numFmtId="0" fontId="37" fillId="0" borderId="0" xfId="0" applyFont="1" applyFill="1" applyBorder="1" applyAlignment="1">
      <alignment vertical="top" wrapText="1"/>
    </xf>
    <xf numFmtId="0" fontId="38" fillId="0" borderId="0" xfId="0" applyFont="1" applyFill="1" applyBorder="1" applyAlignment="1">
      <alignment vertical="top" wrapText="1"/>
    </xf>
    <xf numFmtId="1" fontId="37" fillId="0" borderId="0" xfId="0" applyNumberFormat="1" applyFont="1" applyFill="1" applyBorder="1" applyAlignment="1">
      <alignment vertical="top" wrapText="1"/>
    </xf>
    <xf numFmtId="0" fontId="8" fillId="0" borderId="10" xfId="0" applyFont="1" applyFill="1" applyBorder="1" applyAlignment="1" quotePrefix="1">
      <alignment horizontal="center" vertical="top" wrapText="1"/>
    </xf>
    <xf numFmtId="0" fontId="6" fillId="0" borderId="21" xfId="0" applyFont="1" applyFill="1" applyBorder="1" applyAlignment="1">
      <alignment vertical="top" wrapText="1"/>
    </xf>
    <xf numFmtId="0" fontId="6" fillId="0" borderId="21" xfId="0" applyFont="1" applyFill="1" applyBorder="1" applyAlignment="1">
      <alignment horizontal="center" vertical="top" wrapText="1"/>
    </xf>
    <xf numFmtId="1" fontId="8" fillId="0" borderId="21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 quotePrefix="1">
      <alignment horizontal="center" vertical="top" wrapText="1"/>
    </xf>
    <xf numFmtId="0" fontId="37" fillId="0" borderId="14" xfId="0" applyFont="1" applyFill="1" applyBorder="1" applyAlignment="1">
      <alignment vertical="top" wrapText="1"/>
    </xf>
    <xf numFmtId="0" fontId="37" fillId="0" borderId="15" xfId="0" applyFont="1" applyFill="1" applyBorder="1" applyAlignment="1">
      <alignment vertical="top" wrapText="1"/>
    </xf>
    <xf numFmtId="0" fontId="38" fillId="0" borderId="15" xfId="0" applyFont="1" applyFill="1" applyBorder="1" applyAlignment="1">
      <alignment vertical="top" wrapText="1"/>
    </xf>
    <xf numFmtId="1" fontId="37" fillId="0" borderId="15" xfId="0" applyNumberFormat="1" applyFont="1" applyFill="1" applyBorder="1" applyAlignment="1">
      <alignment vertical="top" wrapText="1"/>
    </xf>
    <xf numFmtId="0" fontId="8" fillId="0" borderId="12" xfId="0" applyFont="1" applyFill="1" applyBorder="1" applyAlignment="1">
      <alignment horizontal="left" vertical="top" wrapText="1"/>
    </xf>
    <xf numFmtId="0" fontId="8" fillId="0" borderId="14" xfId="0" applyFont="1" applyFill="1" applyBorder="1" applyAlignment="1">
      <alignment vertical="top" wrapText="1"/>
    </xf>
    <xf numFmtId="0" fontId="8" fillId="0" borderId="17" xfId="0" applyFont="1" applyFill="1" applyBorder="1" applyAlignment="1">
      <alignment vertical="top" wrapText="1"/>
    </xf>
    <xf numFmtId="0" fontId="4" fillId="0" borderId="18" xfId="0" applyFont="1" applyFill="1" applyBorder="1" applyAlignment="1">
      <alignment vertical="top" wrapText="1"/>
    </xf>
    <xf numFmtId="0" fontId="8" fillId="0" borderId="18" xfId="0" applyFont="1" applyFill="1" applyBorder="1" applyAlignment="1">
      <alignment vertical="top" wrapText="1"/>
    </xf>
    <xf numFmtId="1" fontId="8" fillId="0" borderId="18" xfId="0" applyNumberFormat="1" applyFont="1" applyFill="1" applyBorder="1" applyAlignment="1">
      <alignment vertical="top" wrapText="1"/>
    </xf>
    <xf numFmtId="0" fontId="6" fillId="0" borderId="19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8" fillId="0" borderId="22" xfId="0" applyFont="1" applyFill="1" applyBorder="1" applyAlignment="1" quotePrefix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2" fontId="8" fillId="0" borderId="21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1" fontId="6" fillId="0" borderId="10" xfId="0" applyNumberFormat="1" applyFont="1" applyFill="1" applyBorder="1" applyAlignment="1">
      <alignment vertical="top" wrapText="1"/>
    </xf>
    <xf numFmtId="2" fontId="8" fillId="0" borderId="11" xfId="0" applyNumberFormat="1" applyFont="1" applyFill="1" applyBorder="1" applyAlignment="1">
      <alignment horizontal="center" vertical="top" wrapText="1"/>
    </xf>
    <xf numFmtId="0" fontId="6" fillId="0" borderId="23" xfId="0" applyFont="1" applyFill="1" applyBorder="1" applyAlignment="1">
      <alignment vertical="top" wrapText="1"/>
    </xf>
    <xf numFmtId="0" fontId="0" fillId="0" borderId="14" xfId="0" applyFill="1" applyBorder="1" applyAlignment="1">
      <alignment/>
    </xf>
    <xf numFmtId="1" fontId="8" fillId="0" borderId="15" xfId="0" applyNumberFormat="1" applyFont="1" applyFill="1" applyBorder="1" applyAlignment="1">
      <alignment horizontal="center" vertical="top" wrapText="1"/>
    </xf>
    <xf numFmtId="0" fontId="6" fillId="0" borderId="10" xfId="0" applyNumberFormat="1" applyFont="1" applyFill="1" applyBorder="1" applyAlignment="1">
      <alignment vertical="top" wrapText="1"/>
    </xf>
    <xf numFmtId="0" fontId="6" fillId="0" borderId="0" xfId="0" applyNumberFormat="1" applyFont="1" applyFill="1" applyBorder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37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vertical="top" wrapText="1"/>
    </xf>
    <xf numFmtId="0" fontId="42" fillId="0" borderId="11" xfId="0" applyFont="1" applyFill="1" applyBorder="1" applyAlignment="1">
      <alignment horizontal="center" vertical="top" wrapText="1"/>
    </xf>
    <xf numFmtId="2" fontId="4" fillId="0" borderId="14" xfId="0" applyNumberFormat="1" applyFont="1" applyFill="1" applyBorder="1" applyAlignment="1">
      <alignment vertical="top" wrapText="1"/>
    </xf>
    <xf numFmtId="2" fontId="8" fillId="0" borderId="17" xfId="0" applyNumberFormat="1" applyFont="1" applyFill="1" applyBorder="1" applyAlignment="1">
      <alignment vertical="top" wrapText="1"/>
    </xf>
    <xf numFmtId="2" fontId="8" fillId="0" borderId="18" xfId="0" applyNumberFormat="1" applyFont="1" applyFill="1" applyBorder="1" applyAlignment="1">
      <alignment vertical="top" wrapText="1"/>
    </xf>
    <xf numFmtId="2" fontId="4" fillId="0" borderId="18" xfId="0" applyNumberFormat="1" applyFont="1" applyFill="1" applyBorder="1" applyAlignment="1">
      <alignment vertical="top" wrapText="1"/>
    </xf>
    <xf numFmtId="0" fontId="8" fillId="0" borderId="12" xfId="0" applyFont="1" applyFill="1" applyBorder="1" applyAlignment="1">
      <alignment vertical="top" wrapText="1"/>
    </xf>
    <xf numFmtId="0" fontId="5" fillId="0" borderId="13" xfId="0" applyFont="1" applyFill="1" applyBorder="1" applyAlignment="1">
      <alignment vertical="top" wrapText="1"/>
    </xf>
    <xf numFmtId="0" fontId="0" fillId="0" borderId="13" xfId="0" applyFill="1" applyBorder="1" applyAlignment="1">
      <alignment vertical="top" wrapText="1"/>
    </xf>
    <xf numFmtId="1" fontId="6" fillId="0" borderId="0" xfId="0" applyNumberFormat="1" applyFont="1" applyFill="1" applyBorder="1" applyAlignment="1">
      <alignment vertical="top" wrapText="1"/>
    </xf>
    <xf numFmtId="0" fontId="37" fillId="0" borderId="11" xfId="0" applyFont="1" applyFill="1" applyBorder="1" applyAlignment="1">
      <alignment vertical="top" wrapText="1"/>
    </xf>
    <xf numFmtId="0" fontId="4" fillId="0" borderId="14" xfId="0" applyFont="1" applyFill="1" applyBorder="1" applyAlignment="1">
      <alignment vertical="top" wrapText="1"/>
    </xf>
    <xf numFmtId="0" fontId="37" fillId="0" borderId="10" xfId="0" applyFont="1" applyFill="1" applyBorder="1" applyAlignment="1">
      <alignment vertical="top" wrapText="1"/>
    </xf>
    <xf numFmtId="0" fontId="25" fillId="0" borderId="15" xfId="0" applyFont="1" applyFill="1" applyBorder="1" applyAlignment="1">
      <alignment vertical="top" wrapText="1"/>
    </xf>
    <xf numFmtId="1" fontId="37" fillId="0" borderId="15" xfId="0" applyNumberFormat="1" applyFont="1" applyFill="1" applyBorder="1" applyAlignment="1">
      <alignment vertical="top" wrapText="1"/>
    </xf>
    <xf numFmtId="2" fontId="4" fillId="0" borderId="13" xfId="0" applyNumberFormat="1" applyFont="1" applyFill="1" applyBorder="1" applyAlignment="1">
      <alignment vertical="top" wrapText="1"/>
    </xf>
    <xf numFmtId="0" fontId="6" fillId="0" borderId="16" xfId="0" applyFont="1" applyFill="1" applyBorder="1" applyAlignment="1">
      <alignment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0" fontId="0" fillId="0" borderId="14" xfId="0" applyFill="1" applyBorder="1" applyAlignment="1">
      <alignment vertical="top" wrapText="1"/>
    </xf>
    <xf numFmtId="1" fontId="6" fillId="0" borderId="15" xfId="0" applyNumberFormat="1" applyFont="1" applyFill="1" applyBorder="1" applyAlignment="1">
      <alignment vertical="top" wrapText="1"/>
    </xf>
    <xf numFmtId="0" fontId="6" fillId="0" borderId="12" xfId="0" applyFont="1" applyFill="1" applyBorder="1" applyAlignment="1">
      <alignment horizontal="center" vertical="center" wrapText="1"/>
    </xf>
    <xf numFmtId="1" fontId="8" fillId="0" borderId="12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vertical="top" wrapText="1"/>
    </xf>
    <xf numFmtId="0" fontId="8" fillId="0" borderId="17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top" wrapText="1"/>
    </xf>
    <xf numFmtId="0" fontId="8" fillId="0" borderId="20" xfId="0" applyFont="1" applyFill="1" applyBorder="1" applyAlignment="1">
      <alignment vertical="top" wrapText="1"/>
    </xf>
    <xf numFmtId="2" fontId="4" fillId="0" borderId="1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1" fontId="4" fillId="0" borderId="0" xfId="0" applyNumberFormat="1" applyFont="1" applyFill="1" applyBorder="1" applyAlignment="1">
      <alignment horizontal="center" vertical="top" wrapText="1"/>
    </xf>
    <xf numFmtId="2" fontId="4" fillId="0" borderId="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vertical="top" wrapText="1"/>
    </xf>
    <xf numFmtId="173" fontId="14" fillId="0" borderId="0" xfId="0" applyNumberFormat="1" applyFont="1" applyFill="1" applyAlignment="1">
      <alignment horizontal="center" vertical="top" wrapText="1"/>
    </xf>
    <xf numFmtId="0" fontId="8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10" xfId="0" applyFill="1" applyBorder="1" applyAlignment="1">
      <alignment vertical="top"/>
    </xf>
    <xf numFmtId="0" fontId="11" fillId="0" borderId="10" xfId="0" applyFont="1" applyFill="1" applyBorder="1" applyAlignment="1">
      <alignment vertical="center" wrapText="1"/>
    </xf>
    <xf numFmtId="2" fontId="11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top"/>
    </xf>
    <xf numFmtId="0" fontId="3" fillId="0" borderId="10" xfId="0" applyNumberFormat="1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top" wrapText="1"/>
    </xf>
    <xf numFmtId="0" fontId="11" fillId="0" borderId="0" xfId="0" applyFont="1" applyFill="1" applyAlignment="1">
      <alignment vertical="center" wrapText="1"/>
    </xf>
    <xf numFmtId="2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8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2" fontId="2" fillId="0" borderId="0" xfId="0" applyNumberFormat="1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top"/>
    </xf>
    <xf numFmtId="0" fontId="51" fillId="0" borderId="0" xfId="0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/>
    </xf>
    <xf numFmtId="0" fontId="0" fillId="0" borderId="0" xfId="0" applyFont="1" applyFill="1" applyAlignment="1">
      <alignment vertical="center" wrapText="1"/>
    </xf>
    <xf numFmtId="0" fontId="0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left" vertical="center"/>
    </xf>
    <xf numFmtId="2" fontId="11" fillId="0" borderId="0" xfId="0" applyNumberFormat="1" applyFont="1" applyFill="1" applyAlignment="1">
      <alignment vertical="top"/>
    </xf>
    <xf numFmtId="0" fontId="2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/>
    </xf>
    <xf numFmtId="0" fontId="4" fillId="0" borderId="10" xfId="0" applyFont="1" applyFill="1" applyBorder="1" applyAlignment="1" quotePrefix="1">
      <alignment horizontal="center" vertical="center"/>
    </xf>
    <xf numFmtId="49" fontId="5" fillId="0" borderId="13" xfId="0" applyNumberFormat="1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top"/>
    </xf>
    <xf numFmtId="2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Alignment="1">
      <alignment/>
    </xf>
    <xf numFmtId="0" fontId="5" fillId="0" borderId="18" xfId="0" applyFont="1" applyFill="1" applyBorder="1" applyAlignment="1">
      <alignment vertical="top" wrapText="1"/>
    </xf>
    <xf numFmtId="0" fontId="3" fillId="0" borderId="10" xfId="0" applyFont="1" applyFill="1" applyBorder="1" applyAlignment="1" quotePrefix="1">
      <alignment horizontal="center" vertical="center"/>
    </xf>
    <xf numFmtId="0" fontId="11" fillId="0" borderId="0" xfId="0" applyFont="1" applyFill="1" applyAlignment="1">
      <alignment vertical="top" wrapText="1"/>
    </xf>
    <xf numFmtId="0" fontId="3" fillId="0" borderId="0" xfId="0" applyFont="1" applyFill="1" applyAlignment="1">
      <alignment vertical="center" wrapText="1"/>
    </xf>
    <xf numFmtId="0" fontId="3" fillId="0" borderId="10" xfId="0" applyFont="1" applyFill="1" applyBorder="1" applyAlignment="1" quotePrefix="1">
      <alignment horizontal="center" vertical="top" wrapText="1"/>
    </xf>
    <xf numFmtId="0" fontId="0" fillId="0" borderId="14" xfId="0" applyFill="1" applyBorder="1" applyAlignment="1">
      <alignment vertical="center"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top"/>
    </xf>
    <xf numFmtId="0" fontId="19" fillId="0" borderId="0" xfId="68" applyFont="1" applyFill="1" applyBorder="1" applyAlignment="1">
      <alignment horizontal="center"/>
      <protection/>
    </xf>
    <xf numFmtId="2" fontId="4" fillId="0" borderId="0" xfId="0" applyNumberFormat="1" applyFont="1" applyFill="1" applyAlignment="1">
      <alignment horizontal="center"/>
    </xf>
    <xf numFmtId="0" fontId="27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top" wrapText="1"/>
    </xf>
    <xf numFmtId="49" fontId="11" fillId="0" borderId="0" xfId="0" applyNumberFormat="1" applyFont="1" applyFill="1" applyBorder="1" applyAlignment="1">
      <alignment wrapText="1"/>
    </xf>
    <xf numFmtId="0" fontId="0" fillId="0" borderId="0" xfId="0" applyFill="1" applyBorder="1" applyAlignment="1">
      <alignment horizontal="center" vertical="top" wrapText="1"/>
    </xf>
    <xf numFmtId="9" fontId="18" fillId="0" borderId="10" xfId="59" applyNumberFormat="1" applyFont="1" applyFill="1" applyBorder="1" applyAlignment="1">
      <alignment horizontal="center" vertical="center"/>
      <protection/>
    </xf>
    <xf numFmtId="0" fontId="0" fillId="0" borderId="0" xfId="0" applyNumberFormat="1" applyFill="1" applyBorder="1" applyAlignment="1">
      <alignment horizontal="left"/>
    </xf>
    <xf numFmtId="0" fontId="11" fillId="0" borderId="0" xfId="0" applyFont="1" applyFill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0" fontId="52" fillId="0" borderId="0" xfId="0" applyFont="1" applyFill="1" applyAlignment="1">
      <alignment/>
    </xf>
    <xf numFmtId="0" fontId="52" fillId="0" borderId="0" xfId="0" applyFont="1" applyFill="1" applyAlignment="1">
      <alignment horizontal="center"/>
    </xf>
    <xf numFmtId="0" fontId="52" fillId="0" borderId="0" xfId="0" applyFont="1" applyFill="1" applyAlignment="1">
      <alignment/>
    </xf>
    <xf numFmtId="0" fontId="52" fillId="0" borderId="0" xfId="0" applyNumberFormat="1" applyFont="1" applyFill="1" applyAlignment="1">
      <alignment horizontal="left"/>
    </xf>
    <xf numFmtId="0" fontId="52" fillId="0" borderId="0" xfId="0" applyFont="1" applyFill="1" applyBorder="1" applyAlignment="1">
      <alignment/>
    </xf>
    <xf numFmtId="0" fontId="52" fillId="0" borderId="0" xfId="0" applyNumberFormat="1" applyFont="1" applyFill="1" applyBorder="1" applyAlignment="1">
      <alignment horizontal="left"/>
    </xf>
    <xf numFmtId="0" fontId="52" fillId="0" borderId="0" xfId="0" applyFont="1" applyFill="1" applyBorder="1" applyAlignment="1">
      <alignment horizontal="center"/>
    </xf>
    <xf numFmtId="2" fontId="52" fillId="0" borderId="0" xfId="0" applyNumberFormat="1" applyFont="1" applyFill="1" applyBorder="1" applyAlignment="1">
      <alignment/>
    </xf>
    <xf numFmtId="0" fontId="0" fillId="0" borderId="0" xfId="0" applyNumberFormat="1" applyFill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 quotePrefix="1">
      <alignment horizontal="right"/>
    </xf>
    <xf numFmtId="0" fontId="0" fillId="0" borderId="0" xfId="0" applyFill="1" applyBorder="1" applyAlignment="1" quotePrefix="1">
      <alignment horizontal="right"/>
    </xf>
    <xf numFmtId="2" fontId="0" fillId="0" borderId="0" xfId="0" applyNumberFormat="1" applyFill="1" applyAlignment="1">
      <alignment vertical="top" wrapText="1"/>
    </xf>
    <xf numFmtId="0" fontId="5" fillId="0" borderId="0" xfId="0" applyFont="1" applyFill="1" applyAlignment="1">
      <alignment vertical="top"/>
    </xf>
    <xf numFmtId="0" fontId="0" fillId="0" borderId="0" xfId="0" applyNumberFormat="1" applyFont="1" applyFill="1" applyAlignment="1">
      <alignment vertical="top"/>
    </xf>
    <xf numFmtId="2" fontId="0" fillId="0" borderId="0" xfId="0" applyNumberFormat="1" applyFont="1" applyFill="1" applyAlignment="1">
      <alignment horizontal="center"/>
    </xf>
    <xf numFmtId="0" fontId="4" fillId="0" borderId="10" xfId="0" applyFont="1" applyFill="1" applyBorder="1" applyAlignment="1" quotePrefix="1">
      <alignment horizontal="center"/>
    </xf>
    <xf numFmtId="2" fontId="5" fillId="0" borderId="0" xfId="0" applyNumberFormat="1" applyFont="1" applyFill="1" applyAlignment="1">
      <alignment vertical="top"/>
    </xf>
    <xf numFmtId="2" fontId="5" fillId="0" borderId="0" xfId="0" applyNumberFormat="1" applyFont="1" applyFill="1" applyAlignment="1">
      <alignment/>
    </xf>
    <xf numFmtId="0" fontId="4" fillId="0" borderId="0" xfId="0" applyFont="1" applyFill="1" applyAlignment="1">
      <alignment horizontal="center" vertical="top"/>
    </xf>
    <xf numFmtId="0" fontId="5" fillId="0" borderId="0" xfId="0" applyNumberFormat="1" applyFont="1" applyFill="1" applyAlignment="1">
      <alignment vertical="top"/>
    </xf>
    <xf numFmtId="2" fontId="5" fillId="0" borderId="0" xfId="0" applyNumberFormat="1" applyFont="1" applyFill="1" applyAlignment="1">
      <alignment vertical="top"/>
    </xf>
    <xf numFmtId="0" fontId="2" fillId="0" borderId="10" xfId="0" applyFont="1" applyFill="1" applyBorder="1" applyAlignment="1" quotePrefix="1">
      <alignment horizontal="center"/>
    </xf>
    <xf numFmtId="49" fontId="5" fillId="0" borderId="13" xfId="0" applyNumberFormat="1" applyFont="1" applyFill="1" applyBorder="1" applyAlignment="1">
      <alignment vertical="center" wrapText="1"/>
    </xf>
    <xf numFmtId="0" fontId="53" fillId="0" borderId="0" xfId="0" applyFont="1" applyFill="1" applyAlignment="1">
      <alignment vertical="center"/>
    </xf>
    <xf numFmtId="0" fontId="17" fillId="0" borderId="0" xfId="0" applyFont="1" applyFill="1" applyAlignment="1">
      <alignment horizontal="center"/>
    </xf>
    <xf numFmtId="0" fontId="54" fillId="0" borderId="0" xfId="0" applyFont="1" applyFill="1" applyAlignment="1">
      <alignment vertical="top" wrapText="1"/>
    </xf>
    <xf numFmtId="0" fontId="17" fillId="0" borderId="0" xfId="0" applyFont="1" applyFill="1" applyAlignment="1">
      <alignment/>
    </xf>
    <xf numFmtId="0" fontId="26" fillId="0" borderId="0" xfId="0" applyFont="1" applyFill="1" applyAlignment="1">
      <alignment vertical="top" wrapText="1"/>
    </xf>
    <xf numFmtId="0" fontId="26" fillId="0" borderId="0" xfId="0" applyFont="1" applyFill="1" applyBorder="1" applyAlignment="1">
      <alignment horizontal="center" vertical="top" wrapText="1"/>
    </xf>
    <xf numFmtId="0" fontId="26" fillId="0" borderId="0" xfId="0" applyFont="1" applyFill="1" applyBorder="1" applyAlignment="1">
      <alignment vertical="top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/>
    </xf>
    <xf numFmtId="0" fontId="26" fillId="0" borderId="10" xfId="0" applyFont="1" applyFill="1" applyBorder="1" applyAlignment="1" quotePrefix="1">
      <alignment horizontal="center" vertical="top" wrapText="1"/>
    </xf>
    <xf numFmtId="0" fontId="26" fillId="0" borderId="10" xfId="0" applyNumberFormat="1" applyFont="1" applyFill="1" applyBorder="1" applyAlignment="1" quotePrefix="1">
      <alignment horizontal="center" vertical="top" wrapText="1"/>
    </xf>
    <xf numFmtId="0" fontId="17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Alignment="1">
      <alignment vertical="center" wrapText="1"/>
    </xf>
    <xf numFmtId="0" fontId="17" fillId="0" borderId="0" xfId="0" applyFont="1" applyFill="1" applyAlignment="1">
      <alignment vertical="center"/>
    </xf>
    <xf numFmtId="49" fontId="17" fillId="0" borderId="13" xfId="0" applyNumberFormat="1" applyFont="1" applyFill="1" applyBorder="1" applyAlignment="1">
      <alignment vertical="center" wrapText="1"/>
    </xf>
    <xf numFmtId="49" fontId="17" fillId="0" borderId="0" xfId="0" applyNumberFormat="1" applyFont="1" applyFill="1" applyBorder="1" applyAlignment="1">
      <alignment vertical="center" wrapText="1"/>
    </xf>
    <xf numFmtId="0" fontId="17" fillId="0" borderId="0" xfId="0" applyFont="1" applyFill="1" applyBorder="1" applyAlignment="1">
      <alignment horizontal="right" vertical="top" wrapText="1"/>
    </xf>
    <xf numFmtId="2" fontId="17" fillId="0" borderId="0" xfId="0" applyNumberFormat="1" applyFont="1" applyFill="1" applyBorder="1" applyAlignment="1">
      <alignment horizontal="right" vertical="top" wrapText="1"/>
    </xf>
    <xf numFmtId="0" fontId="17" fillId="0" borderId="13" xfId="0" applyFont="1" applyFill="1" applyBorder="1" applyAlignment="1">
      <alignment vertical="center"/>
    </xf>
    <xf numFmtId="0" fontId="17" fillId="0" borderId="0" xfId="0" applyFont="1" applyFill="1" applyAlignment="1">
      <alignment horizontal="center" vertical="top" wrapText="1"/>
    </xf>
    <xf numFmtId="0" fontId="17" fillId="0" borderId="0" xfId="0" applyFont="1" applyFill="1" applyAlignment="1">
      <alignment vertical="top" wrapText="1"/>
    </xf>
    <xf numFmtId="0" fontId="17" fillId="0" borderId="0" xfId="0" applyNumberFormat="1" applyFont="1" applyFill="1" applyAlignment="1">
      <alignment vertical="top" wrapText="1"/>
    </xf>
    <xf numFmtId="2" fontId="17" fillId="0" borderId="0" xfId="0" applyNumberFormat="1" applyFont="1" applyFill="1" applyAlignment="1">
      <alignment vertical="top" wrapText="1"/>
    </xf>
    <xf numFmtId="0" fontId="26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  <xf numFmtId="2" fontId="17" fillId="0" borderId="0" xfId="0" applyNumberFormat="1" applyFont="1" applyFill="1" applyAlignment="1">
      <alignment horizontal="center" vertical="top" wrapText="1"/>
    </xf>
    <xf numFmtId="0" fontId="17" fillId="0" borderId="0" xfId="0" applyFont="1" applyFill="1" applyBorder="1" applyAlignment="1">
      <alignment horizontal="left" vertical="top" wrapText="1"/>
    </xf>
    <xf numFmtId="2" fontId="17" fillId="0" borderId="0" xfId="0" applyNumberFormat="1" applyFont="1" applyFill="1" applyBorder="1" applyAlignment="1">
      <alignment vertical="top" wrapText="1"/>
    </xf>
    <xf numFmtId="2" fontId="17" fillId="0" borderId="0" xfId="0" applyNumberFormat="1" applyFont="1" applyFill="1" applyBorder="1" applyAlignment="1">
      <alignment horizontal="center" vertical="top" wrapText="1"/>
    </xf>
    <xf numFmtId="2" fontId="17" fillId="0" borderId="0" xfId="0" applyNumberFormat="1" applyFont="1" applyFill="1" applyBorder="1" applyAlignment="1">
      <alignment horizontal="center" vertical="center" wrapText="1"/>
    </xf>
    <xf numFmtId="2" fontId="17" fillId="0" borderId="0" xfId="0" applyNumberFormat="1" applyFont="1" applyFill="1" applyBorder="1" applyAlignment="1">
      <alignment horizontal="center" vertical="center" wrapText="1"/>
    </xf>
    <xf numFmtId="0" fontId="17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vertical="center" wrapText="1"/>
    </xf>
    <xf numFmtId="0" fontId="56" fillId="0" borderId="0" xfId="0" applyFont="1" applyFill="1" applyAlignment="1">
      <alignment vertical="center"/>
    </xf>
    <xf numFmtId="0" fontId="11" fillId="0" borderId="0" xfId="0" applyFont="1" applyFill="1" applyAlignment="1">
      <alignment vertical="top"/>
    </xf>
    <xf numFmtId="49" fontId="17" fillId="0" borderId="0" xfId="0" applyNumberFormat="1" applyFont="1" applyFill="1" applyBorder="1" applyAlignment="1">
      <alignment vertical="center" wrapText="1"/>
    </xf>
    <xf numFmtId="2" fontId="11" fillId="0" borderId="13" xfId="58" applyNumberFormat="1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vertical="top" wrapText="1"/>
    </xf>
    <xf numFmtId="0" fontId="17" fillId="0" borderId="0" xfId="0" applyFont="1" applyFill="1" applyBorder="1" applyAlignment="1">
      <alignment vertical="top" wrapText="1"/>
    </xf>
    <xf numFmtId="0" fontId="8" fillId="0" borderId="0" xfId="58" applyFont="1" applyFill="1" applyAlignment="1" applyProtection="1">
      <alignment/>
      <protection/>
    </xf>
    <xf numFmtId="0" fontId="15" fillId="0" borderId="0" xfId="0" applyFont="1" applyFill="1" applyBorder="1" applyAlignment="1">
      <alignment vertical="top" wrapText="1"/>
    </xf>
    <xf numFmtId="0" fontId="57" fillId="0" borderId="0" xfId="58" applyFont="1" applyFill="1" applyAlignment="1" applyProtection="1">
      <alignment/>
      <protection/>
    </xf>
    <xf numFmtId="0" fontId="4" fillId="0" borderId="0" xfId="58" applyFont="1" applyFill="1" applyAlignment="1" applyProtection="1">
      <alignment vertical="center" wrapText="1"/>
      <protection/>
    </xf>
    <xf numFmtId="0" fontId="58" fillId="0" borderId="0" xfId="58" applyFont="1" applyFill="1">
      <alignment/>
      <protection/>
    </xf>
    <xf numFmtId="0" fontId="58" fillId="0" borderId="0" xfId="58" applyFont="1" applyFill="1" applyAlignment="1">
      <alignment wrapText="1"/>
      <protection/>
    </xf>
    <xf numFmtId="0" fontId="57" fillId="0" borderId="0" xfId="58" applyFont="1" applyFill="1">
      <alignment/>
      <protection/>
    </xf>
    <xf numFmtId="0" fontId="3" fillId="0" borderId="0" xfId="58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1" fillId="0" borderId="14" xfId="58" applyFont="1" applyFill="1" applyBorder="1" applyAlignment="1" applyProtection="1">
      <alignment horizontal="center" vertical="center"/>
      <protection/>
    </xf>
    <xf numFmtId="0" fontId="11" fillId="0" borderId="0" xfId="58" applyFont="1" applyFill="1" applyBorder="1" applyAlignment="1" applyProtection="1">
      <alignment horizontal="center" vertical="center"/>
      <protection/>
    </xf>
    <xf numFmtId="2" fontId="11" fillId="0" borderId="13" xfId="58" applyNumberFormat="1" applyFont="1" applyFill="1" applyBorder="1" applyAlignment="1" applyProtection="1">
      <alignment vertical="center"/>
      <protection/>
    </xf>
    <xf numFmtId="2" fontId="11" fillId="0" borderId="0" xfId="58" applyNumberFormat="1" applyFont="1" applyFill="1" applyBorder="1" applyAlignment="1" applyProtection="1">
      <alignment horizontal="center" vertical="center"/>
      <protection/>
    </xf>
    <xf numFmtId="2" fontId="11" fillId="0" borderId="0" xfId="58" applyNumberFormat="1" applyFont="1" applyFill="1" applyBorder="1" applyAlignment="1" applyProtection="1">
      <alignment horizontal="center" vertical="center" wrapText="1"/>
      <protection/>
    </xf>
    <xf numFmtId="2" fontId="11" fillId="0" borderId="0" xfId="58" applyNumberFormat="1" applyFont="1" applyFill="1" applyBorder="1" applyAlignment="1">
      <alignment horizontal="center" vertical="center" wrapText="1"/>
      <protection/>
    </xf>
    <xf numFmtId="0" fontId="17" fillId="0" borderId="0" xfId="0" applyNumberFormat="1" applyFont="1" applyFill="1" applyBorder="1" applyAlignment="1">
      <alignment vertical="center" wrapText="1"/>
    </xf>
    <xf numFmtId="2" fontId="11" fillId="0" borderId="0" xfId="58" applyNumberFormat="1" applyFont="1" applyFill="1" applyBorder="1" applyAlignment="1">
      <alignment horizontal="center" vertical="center"/>
      <protection/>
    </xf>
    <xf numFmtId="0" fontId="4" fillId="0" borderId="0" xfId="58" applyFont="1" applyFill="1" applyBorder="1" applyAlignment="1" applyProtection="1">
      <alignment horizontal="center" vertical="center"/>
      <protection/>
    </xf>
    <xf numFmtId="0" fontId="11" fillId="0" borderId="0" xfId="58" applyFont="1" applyFill="1" applyBorder="1" applyAlignment="1">
      <alignment horizontal="center" vertical="center"/>
      <protection/>
    </xf>
    <xf numFmtId="0" fontId="11" fillId="0" borderId="0" xfId="58" applyFont="1" applyFill="1">
      <alignment/>
      <protection/>
    </xf>
    <xf numFmtId="0" fontId="11" fillId="0" borderId="0" xfId="58" applyFont="1" applyFill="1" applyAlignment="1">
      <alignment wrapText="1"/>
      <protection/>
    </xf>
    <xf numFmtId="0" fontId="10" fillId="0" borderId="0" xfId="71" applyFont="1" applyFill="1" applyBorder="1" applyAlignment="1">
      <alignment horizontal="center" wrapText="1"/>
      <protection/>
    </xf>
    <xf numFmtId="49" fontId="17" fillId="0" borderId="0" xfId="0" applyNumberFormat="1" applyFont="1" applyFill="1" applyAlignment="1">
      <alignment vertical="center" wrapText="1"/>
    </xf>
    <xf numFmtId="0" fontId="17" fillId="0" borderId="13" xfId="0" applyFont="1" applyFill="1" applyBorder="1" applyAlignment="1">
      <alignment vertical="center" wrapText="1"/>
    </xf>
    <xf numFmtId="0" fontId="9" fillId="0" borderId="0" xfId="56" applyFont="1" applyFill="1" applyBorder="1" applyAlignment="1">
      <alignment horizontal="center" vertical="center"/>
      <protection/>
    </xf>
    <xf numFmtId="0" fontId="13" fillId="0" borderId="0" xfId="71" applyFont="1" applyFill="1" applyBorder="1" applyAlignment="1">
      <alignment horizontal="left" vertical="top"/>
      <protection/>
    </xf>
    <xf numFmtId="2" fontId="12" fillId="0" borderId="0" xfId="56" applyNumberFormat="1" applyFont="1" applyFill="1" applyBorder="1" applyAlignment="1">
      <alignment vertical="center"/>
      <protection/>
    </xf>
    <xf numFmtId="2" fontId="12" fillId="0" borderId="0" xfId="56" applyNumberFormat="1" applyFont="1" applyFill="1" applyBorder="1" applyAlignment="1">
      <alignment horizontal="center" vertical="center"/>
      <protection/>
    </xf>
    <xf numFmtId="0" fontId="4" fillId="0" borderId="0" xfId="68" applyFont="1" applyFill="1" applyBorder="1" applyAlignment="1">
      <alignment/>
      <protection/>
    </xf>
    <xf numFmtId="0" fontId="4" fillId="0" borderId="0" xfId="68" applyFont="1" applyFill="1" applyBorder="1" applyAlignment="1">
      <alignment horizontal="center"/>
      <protection/>
    </xf>
    <xf numFmtId="0" fontId="32" fillId="0" borderId="0" xfId="68" applyFont="1" applyFill="1" applyBorder="1" applyAlignment="1">
      <alignment/>
      <protection/>
    </xf>
    <xf numFmtId="0" fontId="3" fillId="0" borderId="11" xfId="57" applyFont="1" applyFill="1" applyBorder="1" applyAlignment="1">
      <alignment horizontal="center" vertical="center" wrapText="1"/>
      <protection/>
    </xf>
    <xf numFmtId="0" fontId="3" fillId="0" borderId="11" xfId="57" applyFont="1" applyFill="1" applyBorder="1" applyAlignment="1">
      <alignment horizontal="center" vertical="center"/>
      <protection/>
    </xf>
    <xf numFmtId="0" fontId="4" fillId="0" borderId="10" xfId="71" applyFont="1" applyFill="1" applyBorder="1" applyAlignment="1">
      <alignment horizontal="center" vertical="center" wrapText="1"/>
      <protection/>
    </xf>
    <xf numFmtId="0" fontId="3" fillId="0" borderId="14" xfId="57" applyFont="1" applyFill="1" applyBorder="1" applyAlignment="1">
      <alignment horizontal="center" vertical="center"/>
      <protection/>
    </xf>
    <xf numFmtId="0" fontId="3" fillId="0" borderId="10" xfId="57" applyFont="1" applyFill="1" applyBorder="1" applyAlignment="1">
      <alignment horizontal="center" vertical="center"/>
      <protection/>
    </xf>
    <xf numFmtId="0" fontId="4" fillId="0" borderId="0" xfId="71" applyFont="1" applyFill="1" applyBorder="1" applyAlignment="1">
      <alignment horizontal="center" vertical="center" wrapText="1"/>
      <protection/>
    </xf>
    <xf numFmtId="1" fontId="3" fillId="0" borderId="16" xfId="0" applyNumberFormat="1" applyFont="1" applyFill="1" applyBorder="1" applyAlignment="1">
      <alignment horizontal="center" vertical="center" wrapText="1"/>
    </xf>
    <xf numFmtId="49" fontId="17" fillId="0" borderId="0" xfId="0" applyNumberFormat="1" applyFont="1" applyFill="1" applyAlignment="1">
      <alignment horizontal="left" vertical="center" wrapText="1"/>
    </xf>
    <xf numFmtId="0" fontId="0" fillId="0" borderId="0" xfId="0" applyFont="1" applyFill="1" applyAlignment="1">
      <alignment horizontal="center" vertical="top" wrapText="1"/>
    </xf>
    <xf numFmtId="0" fontId="0" fillId="0" borderId="0" xfId="0" applyNumberFormat="1" applyFont="1" applyFill="1" applyAlignment="1">
      <alignment vertical="top" wrapText="1"/>
    </xf>
    <xf numFmtId="0" fontId="2" fillId="0" borderId="0" xfId="0" applyFont="1" applyFill="1" applyAlignment="1">
      <alignment horizontal="center" vertical="top" wrapText="1"/>
    </xf>
    <xf numFmtId="0" fontId="11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top" wrapText="1"/>
    </xf>
    <xf numFmtId="1" fontId="3" fillId="0" borderId="14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 quotePrefix="1">
      <alignment horizontal="center" vertical="top" wrapText="1"/>
    </xf>
    <xf numFmtId="0" fontId="3" fillId="0" borderId="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Alignment="1">
      <alignment vertical="top" wrapText="1"/>
    </xf>
    <xf numFmtId="0" fontId="11" fillId="0" borderId="0" xfId="0" applyFont="1" applyFill="1" applyBorder="1" applyAlignment="1">
      <alignment vertical="top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/>
    </xf>
    <xf numFmtId="2" fontId="0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/>
    </xf>
    <xf numFmtId="2" fontId="3" fillId="0" borderId="0" xfId="0" applyNumberFormat="1" applyFont="1" applyFill="1" applyBorder="1" applyAlignment="1">
      <alignment horizontal="center" vertical="top" wrapText="1"/>
    </xf>
    <xf numFmtId="0" fontId="4" fillId="0" borderId="0" xfId="67" applyFont="1" applyFill="1" applyBorder="1" applyAlignment="1">
      <alignment horizontal="center" wrapText="1"/>
      <protection/>
    </xf>
    <xf numFmtId="0" fontId="3" fillId="0" borderId="0" xfId="67" applyFont="1" applyFill="1" applyBorder="1" applyAlignment="1">
      <alignment horizontal="center" wrapText="1"/>
      <protection/>
    </xf>
    <xf numFmtId="0" fontId="3" fillId="0" borderId="11" xfId="56" applyFont="1" applyFill="1" applyBorder="1" applyAlignment="1">
      <alignment horizontal="center" vertical="center" wrapText="1"/>
      <protection/>
    </xf>
    <xf numFmtId="0" fontId="3" fillId="0" borderId="14" xfId="56" applyFont="1" applyFill="1" applyBorder="1" applyAlignment="1">
      <alignment horizontal="center" vertical="center" wrapText="1"/>
      <protection/>
    </xf>
    <xf numFmtId="0" fontId="3" fillId="0" borderId="10" xfId="56" applyFont="1" applyFill="1" applyBorder="1" applyAlignment="1">
      <alignment horizontal="center" wrapText="1"/>
      <protection/>
    </xf>
    <xf numFmtId="0" fontId="3" fillId="0" borderId="10" xfId="56" applyFont="1" applyFill="1" applyBorder="1" applyAlignment="1">
      <alignment horizontal="center" vertical="center" wrapText="1"/>
      <protection/>
    </xf>
    <xf numFmtId="0" fontId="11" fillId="0" borderId="0" xfId="56" applyFont="1" applyFill="1" applyAlignment="1">
      <alignment vertical="center" wrapText="1"/>
      <protection/>
    </xf>
    <xf numFmtId="0" fontId="4" fillId="0" borderId="2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wrapText="1"/>
    </xf>
    <xf numFmtId="0" fontId="51" fillId="0" borderId="0" xfId="0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wrapText="1"/>
    </xf>
    <xf numFmtId="49" fontId="4" fillId="0" borderId="0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wrapText="1"/>
    </xf>
    <xf numFmtId="0" fontId="33" fillId="0" borderId="0" xfId="67" applyFont="1" applyFill="1" applyBorder="1" applyAlignment="1">
      <alignment horizontal="center"/>
      <protection/>
    </xf>
    <xf numFmtId="0" fontId="11" fillId="0" borderId="0" xfId="0" applyFont="1" applyFill="1" applyAlignment="1">
      <alignment vertical="center"/>
    </xf>
    <xf numFmtId="0" fontId="8" fillId="0" borderId="0" xfId="67" applyFont="1" applyFill="1" applyBorder="1" applyAlignment="1">
      <alignment horizontal="center"/>
      <protection/>
    </xf>
    <xf numFmtId="49" fontId="3" fillId="0" borderId="0" xfId="0" applyNumberFormat="1" applyFont="1" applyFill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top" wrapText="1"/>
    </xf>
    <xf numFmtId="0" fontId="0" fillId="0" borderId="0" xfId="0" applyFont="1" applyFill="1" applyAlignment="1">
      <alignment vertical="center"/>
    </xf>
    <xf numFmtId="0" fontId="11" fillId="0" borderId="10" xfId="0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vertical="center" wrapText="1"/>
    </xf>
    <xf numFmtId="0" fontId="6" fillId="0" borderId="0" xfId="0" applyFont="1" applyFill="1" applyAlignment="1">
      <alignment horizontal="center"/>
    </xf>
    <xf numFmtId="0" fontId="11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top" wrapText="1"/>
    </xf>
    <xf numFmtId="12" fontId="2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55" fillId="0" borderId="13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/>
    </xf>
    <xf numFmtId="0" fontId="3" fillId="0" borderId="11" xfId="0" applyFont="1" applyFill="1" applyBorder="1" applyAlignment="1" quotePrefix="1">
      <alignment horizontal="center" vertical="top" wrapText="1"/>
    </xf>
    <xf numFmtId="0" fontId="17" fillId="0" borderId="0" xfId="0" applyFont="1" applyFill="1" applyAlignment="1">
      <alignment vertical="center"/>
    </xf>
    <xf numFmtId="0" fontId="27" fillId="0" borderId="0" xfId="0" applyFont="1" applyFill="1" applyAlignment="1">
      <alignment vertical="top"/>
    </xf>
    <xf numFmtId="0" fontId="27" fillId="0" borderId="0" xfId="0" applyFont="1" applyFill="1" applyBorder="1" applyAlignment="1">
      <alignment vertical="top"/>
    </xf>
    <xf numFmtId="0" fontId="20" fillId="0" borderId="0" xfId="0" applyFont="1" applyFill="1" applyBorder="1" applyAlignment="1">
      <alignment horizontal="center" vertical="top" wrapText="1"/>
    </xf>
    <xf numFmtId="0" fontId="34" fillId="0" borderId="0" xfId="0" applyFont="1" applyFill="1" applyBorder="1" applyAlignment="1">
      <alignment vertical="top"/>
    </xf>
    <xf numFmtId="0" fontId="27" fillId="0" borderId="13" xfId="0" applyFont="1" applyFill="1" applyBorder="1" applyAlignment="1">
      <alignment vertical="top"/>
    </xf>
    <xf numFmtId="0" fontId="8" fillId="0" borderId="11" xfId="0" applyFont="1" applyFill="1" applyBorder="1" applyAlignment="1">
      <alignment horizontal="center" vertical="top" wrapText="1"/>
    </xf>
    <xf numFmtId="0" fontId="8" fillId="0" borderId="21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top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vertical="top"/>
    </xf>
    <xf numFmtId="0" fontId="16" fillId="0" borderId="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top" wrapText="1"/>
    </xf>
    <xf numFmtId="0" fontId="3" fillId="0" borderId="10" xfId="58" applyFont="1" applyFill="1" applyBorder="1" applyAlignment="1" applyProtection="1">
      <alignment horizontal="center" vertical="center" wrapText="1"/>
      <protection/>
    </xf>
    <xf numFmtId="0" fontId="11" fillId="0" borderId="11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left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1" fontId="29" fillId="0" borderId="12" xfId="0" applyNumberFormat="1" applyFont="1" applyFill="1" applyBorder="1" applyAlignment="1">
      <alignment horizontal="center" vertical="top" wrapText="1"/>
    </xf>
    <xf numFmtId="1" fontId="29" fillId="0" borderId="10" xfId="0" applyNumberFormat="1" applyFont="1" applyFill="1" applyBorder="1" applyAlignment="1">
      <alignment horizontal="center" vertical="center" wrapText="1"/>
    </xf>
    <xf numFmtId="1" fontId="29" fillId="0" borderId="10" xfId="0" applyNumberFormat="1" applyFont="1" applyFill="1" applyBorder="1" applyAlignment="1">
      <alignment horizontal="center" vertical="top" wrapText="1"/>
    </xf>
    <xf numFmtId="0" fontId="27" fillId="0" borderId="0" xfId="0" applyFont="1" applyFill="1" applyBorder="1" applyAlignment="1">
      <alignment vertical="center" wrapText="1"/>
    </xf>
    <xf numFmtId="0" fontId="39" fillId="0" borderId="0" xfId="0" applyFont="1" applyFill="1" applyBorder="1" applyAlignment="1">
      <alignment vertical="top"/>
    </xf>
    <xf numFmtId="0" fontId="27" fillId="0" borderId="13" xfId="0" applyFont="1" applyFill="1" applyBorder="1" applyAlignment="1">
      <alignment/>
    </xf>
    <xf numFmtId="0" fontId="27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top"/>
    </xf>
    <xf numFmtId="0" fontId="27" fillId="0" borderId="0" xfId="0" applyNumberFormat="1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/>
    </xf>
    <xf numFmtId="0" fontId="11" fillId="0" borderId="10" xfId="0" applyFont="1" applyFill="1" applyBorder="1" applyAlignment="1">
      <alignment horizontal="center" wrapText="1"/>
    </xf>
    <xf numFmtId="0" fontId="11" fillId="0" borderId="14" xfId="0" applyFont="1" applyFill="1" applyBorder="1" applyAlignment="1">
      <alignment vertical="top" wrapText="1"/>
    </xf>
    <xf numFmtId="0" fontId="11" fillId="0" borderId="10" xfId="0" applyFont="1" applyFill="1" applyBorder="1" applyAlignment="1" quotePrefix="1">
      <alignment horizontal="center" vertical="top" wrapText="1"/>
    </xf>
    <xf numFmtId="1" fontId="11" fillId="0" borderId="10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/>
    </xf>
    <xf numFmtId="49" fontId="26" fillId="0" borderId="13" xfId="0" applyNumberFormat="1" applyFont="1" applyFill="1" applyBorder="1" applyAlignment="1">
      <alignment vertical="center" wrapText="1"/>
    </xf>
    <xf numFmtId="0" fontId="17" fillId="0" borderId="13" xfId="0" applyFont="1" applyFill="1" applyBorder="1" applyAlignment="1">
      <alignment vertical="center" wrapText="1"/>
    </xf>
    <xf numFmtId="2" fontId="26" fillId="0" borderId="0" xfId="0" applyNumberFormat="1" applyFont="1" applyFill="1" applyBorder="1" applyAlignment="1">
      <alignment horizontal="left" vertical="center"/>
    </xf>
    <xf numFmtId="0" fontId="60" fillId="0" borderId="0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2" fontId="20" fillId="0" borderId="0" xfId="0" applyNumberFormat="1" applyFont="1" applyFill="1" applyBorder="1" applyAlignment="1">
      <alignment horizontal="left" vertical="top" wrapText="1"/>
    </xf>
    <xf numFmtId="0" fontId="45" fillId="0" borderId="0" xfId="0" applyFont="1" applyFill="1" applyBorder="1" applyAlignment="1">
      <alignment horizontal="left" vertical="center" wrapText="1"/>
    </xf>
    <xf numFmtId="0" fontId="61" fillId="0" borderId="0" xfId="0" applyFont="1" applyFill="1" applyAlignment="1">
      <alignment horizontal="left" vertical="top"/>
    </xf>
    <xf numFmtId="0" fontId="0" fillId="0" borderId="0" xfId="0" applyFont="1" applyFill="1" applyBorder="1" applyAlignment="1">
      <alignment vertical="top"/>
    </xf>
    <xf numFmtId="43" fontId="0" fillId="0" borderId="0" xfId="42" applyFont="1" applyFill="1" applyAlignment="1">
      <alignment/>
    </xf>
    <xf numFmtId="0" fontId="25" fillId="0" borderId="0" xfId="0" applyFont="1" applyFill="1" applyAlignment="1">
      <alignment vertical="top" wrapText="1"/>
    </xf>
    <xf numFmtId="1" fontId="5" fillId="0" borderId="0" xfId="0" applyNumberFormat="1" applyFont="1" applyFill="1" applyBorder="1" applyAlignment="1">
      <alignment horizontal="center" vertical="top" wrapText="1"/>
    </xf>
    <xf numFmtId="2" fontId="5" fillId="0" borderId="0" xfId="0" applyNumberFormat="1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/>
    </xf>
    <xf numFmtId="0" fontId="20" fillId="33" borderId="0" xfId="0" applyFont="1" applyFill="1" applyBorder="1" applyAlignment="1">
      <alignment horizontal="center" vertical="top" wrapText="1"/>
    </xf>
    <xf numFmtId="0" fontId="60" fillId="33" borderId="0" xfId="0" applyFont="1" applyFill="1" applyBorder="1" applyAlignment="1">
      <alignment horizontal="left" vertical="center"/>
    </xf>
    <xf numFmtId="2" fontId="27" fillId="0" borderId="0" xfId="0" applyNumberFormat="1" applyFont="1" applyFill="1" applyBorder="1" applyAlignment="1">
      <alignment horizontal="left" vertical="top" wrapText="1"/>
    </xf>
    <xf numFmtId="0" fontId="27" fillId="0" borderId="0" xfId="0" applyFont="1" applyFill="1" applyBorder="1" applyAlignment="1">
      <alignment horizontal="left" vertical="center"/>
    </xf>
    <xf numFmtId="12" fontId="0" fillId="0" borderId="0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left" vertical="top"/>
    </xf>
    <xf numFmtId="12" fontId="0" fillId="0" borderId="0" xfId="0" applyNumberFormat="1" applyFont="1" applyFill="1" applyBorder="1" applyAlignment="1">
      <alignment horizontal="center" vertical="top"/>
    </xf>
    <xf numFmtId="0" fontId="60" fillId="33" borderId="0" xfId="0" applyFont="1" applyFill="1" applyBorder="1" applyAlignment="1">
      <alignment horizontal="left" vertical="top"/>
    </xf>
    <xf numFmtId="0" fontId="27" fillId="33" borderId="0" xfId="0" applyFont="1" applyFill="1" applyBorder="1" applyAlignment="1">
      <alignment horizontal="left" vertical="center" wrapText="1"/>
    </xf>
    <xf numFmtId="0" fontId="35" fillId="0" borderId="0" xfId="0" applyFont="1" applyFill="1" applyBorder="1" applyAlignment="1">
      <alignment vertical="top" wrapText="1"/>
    </xf>
    <xf numFmtId="0" fontId="27" fillId="33" borderId="0" xfId="0" applyFont="1" applyFill="1" applyBorder="1" applyAlignment="1">
      <alignment horizontal="left" vertical="top" wrapText="1"/>
    </xf>
    <xf numFmtId="0" fontId="0" fillId="33" borderId="0" xfId="0" applyFill="1" applyAlignment="1">
      <alignment horizontal="left" vertical="top"/>
    </xf>
    <xf numFmtId="0" fontId="11" fillId="33" borderId="0" xfId="0" applyFont="1" applyFill="1" applyAlignment="1">
      <alignment vertical="top"/>
    </xf>
    <xf numFmtId="0" fontId="16" fillId="0" borderId="0" xfId="0" applyFont="1" applyFill="1" applyAlignment="1">
      <alignment vertical="center"/>
    </xf>
    <xf numFmtId="0" fontId="3" fillId="33" borderId="0" xfId="0" applyFont="1" applyFill="1" applyAlignment="1">
      <alignment vertical="top"/>
    </xf>
    <xf numFmtId="0" fontId="24" fillId="33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11" fillId="33" borderId="0" xfId="0" applyFont="1" applyFill="1" applyAlignment="1">
      <alignment vertical="top" wrapText="1"/>
    </xf>
    <xf numFmtId="49" fontId="11" fillId="0" borderId="0" xfId="0" applyNumberFormat="1" applyFont="1" applyFill="1" applyAlignment="1">
      <alignment horizontal="center" vertical="center" wrapText="1"/>
    </xf>
    <xf numFmtId="0" fontId="5" fillId="34" borderId="0" xfId="0" applyFont="1" applyFill="1" applyAlignment="1">
      <alignment vertical="center" wrapText="1"/>
    </xf>
    <xf numFmtId="0" fontId="11" fillId="34" borderId="0" xfId="0" applyFont="1" applyFill="1" applyAlignment="1">
      <alignment vertical="center" wrapText="1"/>
    </xf>
    <xf numFmtId="0" fontId="5" fillId="0" borderId="16" xfId="0" applyFont="1" applyFill="1" applyBorder="1" applyAlignment="1">
      <alignment horizontal="center" vertical="center"/>
    </xf>
    <xf numFmtId="0" fontId="0" fillId="34" borderId="0" xfId="0" applyFont="1" applyFill="1" applyAlignment="1">
      <alignment vertical="center" wrapText="1"/>
    </xf>
    <xf numFmtId="0" fontId="11" fillId="0" borderId="11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 quotePrefix="1">
      <alignment horizontal="center" vertical="center" wrapText="1"/>
    </xf>
    <xf numFmtId="2" fontId="0" fillId="0" borderId="0" xfId="0" applyNumberFormat="1" applyFont="1" applyFill="1" applyBorder="1" applyAlignment="1">
      <alignment horizontal="center" vertical="center"/>
    </xf>
    <xf numFmtId="0" fontId="3" fillId="34" borderId="0" xfId="0" applyFont="1" applyFill="1" applyAlignment="1">
      <alignment vertical="top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1" fontId="0" fillId="0" borderId="0" xfId="0" applyNumberFormat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26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vertical="top" wrapText="1"/>
    </xf>
    <xf numFmtId="0" fontId="5" fillId="0" borderId="20" xfId="0" applyFont="1" applyFill="1" applyBorder="1" applyAlignment="1">
      <alignment vertical="top" wrapText="1"/>
    </xf>
    <xf numFmtId="0" fontId="5" fillId="0" borderId="14" xfId="0" applyFont="1" applyFill="1" applyBorder="1" applyAlignment="1">
      <alignment vertical="top" wrapText="1"/>
    </xf>
    <xf numFmtId="0" fontId="5" fillId="0" borderId="15" xfId="0" applyFont="1" applyFill="1" applyBorder="1" applyAlignment="1" quotePrefix="1">
      <alignment vertical="top" wrapText="1"/>
    </xf>
    <xf numFmtId="0" fontId="5" fillId="0" borderId="15" xfId="0" applyFont="1" applyFill="1" applyBorder="1" applyAlignment="1">
      <alignment vertical="top" wrapText="1"/>
    </xf>
    <xf numFmtId="0" fontId="5" fillId="0" borderId="20" xfId="0" applyFont="1" applyFill="1" applyBorder="1" applyAlignment="1" quotePrefix="1">
      <alignment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3" xfId="0" applyFont="1" applyFill="1" applyBorder="1" applyAlignment="1">
      <alignment vertical="top" wrapText="1"/>
    </xf>
    <xf numFmtId="0" fontId="25" fillId="0" borderId="15" xfId="0" applyFont="1" applyFill="1" applyBorder="1" applyAlignment="1">
      <alignment vertical="top" wrapText="1"/>
    </xf>
    <xf numFmtId="0" fontId="34" fillId="0" borderId="10" xfId="0" applyFont="1" applyFill="1" applyBorder="1" applyAlignment="1">
      <alignment horizontal="center" vertical="top" wrapText="1"/>
    </xf>
    <xf numFmtId="0" fontId="27" fillId="0" borderId="10" xfId="0" applyFont="1" applyFill="1" applyBorder="1" applyAlignment="1">
      <alignment vertical="top" wrapText="1"/>
    </xf>
    <xf numFmtId="0" fontId="27" fillId="0" borderId="10" xfId="0" applyFont="1" applyFill="1" applyBorder="1" applyAlignment="1">
      <alignment horizontal="center" vertical="top" wrapText="1"/>
    </xf>
    <xf numFmtId="2" fontId="27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0" fontId="34" fillId="0" borderId="10" xfId="0" applyFont="1" applyFill="1" applyBorder="1" applyAlignment="1">
      <alignment horizontal="center" vertical="top"/>
    </xf>
    <xf numFmtId="0" fontId="27" fillId="0" borderId="10" xfId="0" applyFont="1" applyFill="1" applyBorder="1" applyAlignment="1">
      <alignment horizontal="left" vertical="top" wrapText="1"/>
    </xf>
    <xf numFmtId="0" fontId="27" fillId="0" borderId="10" xfId="0" applyFont="1" applyFill="1" applyBorder="1" applyAlignment="1">
      <alignment horizontal="center" vertical="top"/>
    </xf>
    <xf numFmtId="0" fontId="27" fillId="0" borderId="10" xfId="0" applyFont="1" applyFill="1" applyBorder="1" applyAlignment="1">
      <alignment vertical="top"/>
    </xf>
    <xf numFmtId="0" fontId="27" fillId="0" borderId="10" xfId="0" applyNumberFormat="1" applyFont="1" applyFill="1" applyBorder="1" applyAlignment="1">
      <alignment horizontal="center" vertical="top" wrapText="1"/>
    </xf>
    <xf numFmtId="0" fontId="34" fillId="0" borderId="10" xfId="0" applyNumberFormat="1" applyFont="1" applyFill="1" applyBorder="1" applyAlignment="1">
      <alignment horizontal="center" vertical="top" wrapText="1"/>
    </xf>
    <xf numFmtId="0" fontId="34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vertical="center"/>
    </xf>
    <xf numFmtId="0" fontId="27" fillId="0" borderId="10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/>
    </xf>
    <xf numFmtId="1" fontId="34" fillId="0" borderId="10" xfId="0" applyNumberFormat="1" applyFont="1" applyFill="1" applyBorder="1" applyAlignment="1">
      <alignment horizontal="center" vertical="top"/>
    </xf>
    <xf numFmtId="0" fontId="35" fillId="0" borderId="10" xfId="0" applyFont="1" applyFill="1" applyBorder="1" applyAlignment="1">
      <alignment horizontal="center" vertical="top"/>
    </xf>
    <xf numFmtId="0" fontId="35" fillId="0" borderId="10" xfId="0" applyFont="1" applyFill="1" applyBorder="1" applyAlignment="1">
      <alignment horizontal="left" vertical="top" wrapText="1"/>
    </xf>
    <xf numFmtId="2" fontId="35" fillId="0" borderId="10" xfId="0" applyNumberFormat="1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vertical="top" wrapText="1"/>
    </xf>
    <xf numFmtId="0" fontId="35" fillId="0" borderId="10" xfId="0" applyFont="1" applyFill="1" applyBorder="1" applyAlignment="1">
      <alignment vertical="center" wrapText="1"/>
    </xf>
    <xf numFmtId="0" fontId="35" fillId="0" borderId="10" xfId="0" applyFont="1" applyFill="1" applyBorder="1" applyAlignment="1">
      <alignment horizontal="center" vertical="top" wrapText="1"/>
    </xf>
    <xf numFmtId="0" fontId="35" fillId="0" borderId="10" xfId="0" applyFont="1" applyFill="1" applyBorder="1" applyAlignment="1">
      <alignment vertical="top" wrapText="1"/>
    </xf>
    <xf numFmtId="0" fontId="35" fillId="0" borderId="10" xfId="58" applyFont="1" applyFill="1" applyBorder="1" applyAlignment="1">
      <alignment vertical="top" wrapText="1"/>
      <protection/>
    </xf>
    <xf numFmtId="0" fontId="35" fillId="0" borderId="10" xfId="58" applyFont="1" applyFill="1" applyBorder="1" applyAlignment="1">
      <alignment horizontal="center" vertical="top" wrapText="1"/>
      <protection/>
    </xf>
    <xf numFmtId="0" fontId="27" fillId="0" borderId="10" xfId="58" applyFont="1" applyFill="1" applyBorder="1" applyAlignment="1">
      <alignment vertical="top" wrapText="1"/>
      <protection/>
    </xf>
    <xf numFmtId="0" fontId="27" fillId="0" borderId="10" xfId="58" applyFont="1" applyFill="1" applyBorder="1" applyAlignment="1">
      <alignment horizontal="center" vertical="top" wrapText="1"/>
      <protection/>
    </xf>
    <xf numFmtId="0" fontId="27" fillId="0" borderId="10" xfId="0" applyNumberFormat="1" applyFont="1" applyFill="1" applyBorder="1" applyAlignment="1">
      <alignment horizontal="center" vertical="top"/>
    </xf>
    <xf numFmtId="0" fontId="35" fillId="0" borderId="10" xfId="0" applyFont="1" applyFill="1" applyBorder="1" applyAlignment="1">
      <alignment horizontal="center" vertical="top"/>
    </xf>
    <xf numFmtId="1" fontId="27" fillId="0" borderId="10" xfId="0" applyNumberFormat="1" applyFont="1" applyFill="1" applyBorder="1" applyAlignment="1">
      <alignment horizontal="center" vertical="top" wrapText="1"/>
    </xf>
    <xf numFmtId="0" fontId="27" fillId="0" borderId="10" xfId="0" applyFont="1" applyFill="1" applyBorder="1" applyAlignment="1">
      <alignment vertical="center" wrapText="1"/>
    </xf>
    <xf numFmtId="0" fontId="27" fillId="0" borderId="10" xfId="60" applyFont="1" applyFill="1" applyBorder="1" applyAlignment="1">
      <alignment vertical="top" wrapText="1"/>
      <protection/>
    </xf>
    <xf numFmtId="0" fontId="27" fillId="0" borderId="10" xfId="0" applyNumberFormat="1" applyFont="1" applyFill="1" applyBorder="1" applyAlignment="1">
      <alignment horizontal="left" vertical="top" wrapText="1"/>
    </xf>
    <xf numFmtId="1" fontId="27" fillId="0" borderId="10" xfId="0" applyNumberFormat="1" applyFont="1" applyFill="1" applyBorder="1" applyAlignment="1">
      <alignment horizontal="center" vertical="top"/>
    </xf>
    <xf numFmtId="0" fontId="35" fillId="0" borderId="10" xfId="60" applyFont="1" applyFill="1" applyBorder="1" applyAlignment="1">
      <alignment horizontal="left" vertical="top" wrapText="1"/>
      <protection/>
    </xf>
    <xf numFmtId="0" fontId="35" fillId="0" borderId="10" xfId="60" applyFont="1" applyFill="1" applyBorder="1" applyAlignment="1">
      <alignment horizontal="center" vertical="top"/>
      <protection/>
    </xf>
    <xf numFmtId="0" fontId="20" fillId="0" borderId="10" xfId="0" applyFont="1" applyFill="1" applyBorder="1" applyAlignment="1">
      <alignment horizontal="left" vertical="top" wrapText="1"/>
    </xf>
    <xf numFmtId="0" fontId="35" fillId="0" borderId="10" xfId="0" applyFont="1" applyFill="1" applyBorder="1" applyAlignment="1">
      <alignment vertical="top"/>
    </xf>
    <xf numFmtId="0" fontId="27" fillId="0" borderId="17" xfId="58" applyFont="1" applyFill="1" applyBorder="1" applyAlignment="1">
      <alignment vertical="top" wrapText="1"/>
      <protection/>
    </xf>
    <xf numFmtId="0" fontId="27" fillId="0" borderId="12" xfId="58" applyFont="1" applyFill="1" applyBorder="1" applyAlignment="1">
      <alignment horizontal="center" vertical="top" wrapText="1"/>
      <protection/>
    </xf>
    <xf numFmtId="0" fontId="27" fillId="0" borderId="16" xfId="58" applyNumberFormat="1" applyFont="1" applyFill="1" applyBorder="1" applyAlignment="1">
      <alignment horizontal="center" vertical="top"/>
      <protection/>
    </xf>
    <xf numFmtId="0" fontId="27" fillId="0" borderId="14" xfId="58" applyFont="1" applyFill="1" applyBorder="1" applyAlignment="1">
      <alignment vertical="top" wrapText="1"/>
      <protection/>
    </xf>
    <xf numFmtId="0" fontId="27" fillId="0" borderId="19" xfId="58" applyFont="1" applyFill="1" applyBorder="1" applyAlignment="1">
      <alignment vertical="top" wrapText="1"/>
      <protection/>
    </xf>
    <xf numFmtId="0" fontId="27" fillId="0" borderId="11" xfId="58" applyFont="1" applyFill="1" applyBorder="1" applyAlignment="1">
      <alignment horizontal="center" vertical="top" wrapText="1"/>
      <protection/>
    </xf>
    <xf numFmtId="0" fontId="27" fillId="0" borderId="10" xfId="58" applyNumberFormat="1" applyFont="1" applyFill="1" applyBorder="1" applyAlignment="1">
      <alignment horizontal="center" vertical="top"/>
      <protection/>
    </xf>
    <xf numFmtId="0" fontId="27" fillId="0" borderId="12" xfId="58" applyFont="1" applyFill="1" applyBorder="1" applyAlignment="1">
      <alignment vertical="top" wrapText="1"/>
      <protection/>
    </xf>
    <xf numFmtId="43" fontId="27" fillId="0" borderId="10" xfId="0" applyNumberFormat="1" applyFont="1" applyFill="1" applyBorder="1" applyAlignment="1">
      <alignment vertical="top" wrapText="1"/>
    </xf>
    <xf numFmtId="0" fontId="27" fillId="0" borderId="10" xfId="60" applyNumberFormat="1" applyFont="1" applyFill="1" applyBorder="1" applyAlignment="1">
      <alignment horizontal="center" vertical="top" wrapText="1"/>
      <protection/>
    </xf>
    <xf numFmtId="0" fontId="27" fillId="0" borderId="10" xfId="60" applyFont="1" applyFill="1" applyBorder="1" applyAlignment="1">
      <alignment horizontal="center" vertical="top" wrapText="1"/>
      <protection/>
    </xf>
    <xf numFmtId="0" fontId="27" fillId="0" borderId="16" xfId="60" applyFont="1" applyFill="1" applyBorder="1" applyAlignment="1">
      <alignment horizontal="center" vertical="top" wrapText="1"/>
      <protection/>
    </xf>
    <xf numFmtId="0" fontId="27" fillId="0" borderId="10" xfId="0" applyNumberFormat="1" applyFont="1" applyFill="1" applyBorder="1" applyAlignment="1">
      <alignment horizontal="left" vertical="top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NumberFormat="1" applyFont="1" applyFill="1" applyBorder="1" applyAlignment="1">
      <alignment horizontal="center" vertical="center"/>
    </xf>
    <xf numFmtId="0" fontId="27" fillId="0" borderId="10" xfId="0" applyNumberFormat="1" applyFont="1" applyFill="1" applyBorder="1" applyAlignment="1">
      <alignment horizontal="left" vertical="center"/>
    </xf>
    <xf numFmtId="0" fontId="34" fillId="0" borderId="10" xfId="0" applyFont="1" applyFill="1" applyBorder="1" applyAlignment="1">
      <alignment horizontal="left" vertical="top" wrapText="1"/>
    </xf>
    <xf numFmtId="0" fontId="35" fillId="0" borderId="16" xfId="0" applyFont="1" applyFill="1" applyBorder="1" applyAlignment="1">
      <alignment vertical="top" wrapText="1"/>
    </xf>
    <xf numFmtId="2" fontId="27" fillId="0" borderId="10" xfId="0" applyNumberFormat="1" applyFont="1" applyFill="1" applyBorder="1" applyAlignment="1">
      <alignment horizontal="center" vertical="top"/>
    </xf>
    <xf numFmtId="0" fontId="35" fillId="0" borderId="10" xfId="60" applyFont="1" applyFill="1" applyBorder="1" applyAlignment="1">
      <alignment vertical="top" wrapText="1"/>
      <protection/>
    </xf>
    <xf numFmtId="0" fontId="27" fillId="0" borderId="11" xfId="58" applyFont="1" applyFill="1" applyBorder="1" applyAlignment="1">
      <alignment vertical="top" wrapText="1"/>
      <protection/>
    </xf>
    <xf numFmtId="0" fontId="27" fillId="0" borderId="11" xfId="0" applyNumberFormat="1" applyFont="1" applyFill="1" applyBorder="1" applyAlignment="1">
      <alignment horizontal="center" vertical="top"/>
    </xf>
    <xf numFmtId="0" fontId="27" fillId="0" borderId="10" xfId="60" applyNumberFormat="1" applyFont="1" applyFill="1" applyBorder="1" applyAlignment="1">
      <alignment horizontal="center" vertical="top"/>
      <protection/>
    </xf>
    <xf numFmtId="49" fontId="5" fillId="0" borderId="10" xfId="0" applyNumberFormat="1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vertical="center" wrapText="1"/>
    </xf>
    <xf numFmtId="172" fontId="5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2" fontId="26" fillId="0" borderId="10" xfId="0" applyNumberFormat="1" applyFont="1" applyFill="1" applyBorder="1" applyAlignment="1">
      <alignment horizontal="center" vertical="center" wrapText="1"/>
    </xf>
    <xf numFmtId="2" fontId="17" fillId="0" borderId="10" xfId="0" applyNumberFormat="1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vertical="center" wrapText="1"/>
    </xf>
    <xf numFmtId="0" fontId="11" fillId="0" borderId="15" xfId="0" applyFont="1" applyFill="1" applyBorder="1" applyAlignment="1">
      <alignment vertical="center" wrapText="1"/>
    </xf>
    <xf numFmtId="0" fontId="11" fillId="0" borderId="16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vertical="center" wrapText="1"/>
    </xf>
    <xf numFmtId="2" fontId="0" fillId="0" borderId="10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2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1" fontId="0" fillId="0" borderId="10" xfId="0" applyNumberForma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2" fontId="11" fillId="0" borderId="12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horizontal="center" vertical="top" wrapText="1"/>
    </xf>
    <xf numFmtId="0" fontId="11" fillId="0" borderId="10" xfId="0" applyNumberFormat="1" applyFont="1" applyFill="1" applyBorder="1" applyAlignment="1">
      <alignment horizontal="center" vertical="center"/>
    </xf>
    <xf numFmtId="0" fontId="11" fillId="0" borderId="15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1" fontId="11" fillId="0" borderId="10" xfId="0" applyNumberFormat="1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2" fontId="11" fillId="0" borderId="12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 quotePrefix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14" xfId="0" applyNumberFormat="1" applyFont="1" applyFill="1" applyBorder="1" applyAlignment="1">
      <alignment vertical="center"/>
    </xf>
    <xf numFmtId="0" fontId="11" fillId="0" borderId="15" xfId="0" applyNumberFormat="1" applyFont="1" applyFill="1" applyBorder="1" applyAlignment="1">
      <alignment vertical="center"/>
    </xf>
    <xf numFmtId="0" fontId="11" fillId="0" borderId="19" xfId="0" applyNumberFormat="1" applyFont="1" applyFill="1" applyBorder="1" applyAlignment="1">
      <alignment horizontal="center" vertical="center"/>
    </xf>
    <xf numFmtId="0" fontId="11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0" fillId="0" borderId="10" xfId="0" applyNumberForma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0" fillId="0" borderId="16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/>
    </xf>
    <xf numFmtId="0" fontId="0" fillId="0" borderId="10" xfId="0" applyFont="1" applyFill="1" applyBorder="1" applyAlignment="1" quotePrefix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vertical="center" wrapText="1"/>
    </xf>
    <xf numFmtId="0" fontId="0" fillId="0" borderId="21" xfId="0" applyFill="1" applyBorder="1" applyAlignment="1">
      <alignment vertical="center" wrapText="1"/>
    </xf>
    <xf numFmtId="49" fontId="0" fillId="0" borderId="10" xfId="0" applyNumberFormat="1" applyFont="1" applyFill="1" applyBorder="1" applyAlignment="1">
      <alignment horizontal="left" vertical="center" wrapText="1"/>
    </xf>
    <xf numFmtId="0" fontId="0" fillId="0" borderId="21" xfId="0" applyNumberForma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23" fillId="0" borderId="10" xfId="0" applyFont="1" applyFill="1" applyBorder="1" applyAlignment="1">
      <alignment horizontal="center" vertical="center" wrapText="1"/>
    </xf>
    <xf numFmtId="2" fontId="23" fillId="0" borderId="10" xfId="0" applyNumberFormat="1" applyFont="1" applyFill="1" applyBorder="1" applyAlignment="1">
      <alignment horizontal="center" vertical="center" wrapText="1"/>
    </xf>
    <xf numFmtId="2" fontId="11" fillId="0" borderId="14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left" vertical="center" wrapText="1"/>
    </xf>
    <xf numFmtId="172" fontId="11" fillId="0" borderId="10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49" fontId="11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20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 quotePrefix="1">
      <alignment horizontal="center" vertical="center"/>
    </xf>
    <xf numFmtId="2" fontId="5" fillId="0" borderId="10" xfId="0" applyNumberFormat="1" applyFont="1" applyFill="1" applyBorder="1" applyAlignment="1" quotePrefix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 wrapText="1"/>
    </xf>
    <xf numFmtId="1" fontId="5" fillId="0" borderId="10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vertical="center"/>
    </xf>
    <xf numFmtId="0" fontId="5" fillId="0" borderId="15" xfId="0" applyNumberFormat="1" applyFont="1" applyFill="1" applyBorder="1" applyAlignment="1">
      <alignment vertical="center"/>
    </xf>
    <xf numFmtId="0" fontId="5" fillId="0" borderId="16" xfId="0" applyNumberFormat="1" applyFont="1" applyFill="1" applyBorder="1" applyAlignment="1">
      <alignment vertical="center"/>
    </xf>
    <xf numFmtId="0" fontId="5" fillId="0" borderId="14" xfId="0" applyNumberFormat="1" applyFont="1" applyFill="1" applyBorder="1" applyAlignment="1">
      <alignment vertical="center"/>
    </xf>
    <xf numFmtId="0" fontId="5" fillId="0" borderId="15" xfId="0" applyNumberFormat="1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2" fontId="5" fillId="0" borderId="16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vertical="center"/>
    </xf>
    <xf numFmtId="0" fontId="11" fillId="0" borderId="16" xfId="0" applyFont="1" applyFill="1" applyBorder="1" applyAlignment="1">
      <alignment vertical="center"/>
    </xf>
    <xf numFmtId="0" fontId="11" fillId="0" borderId="14" xfId="0" applyNumberFormat="1" applyFont="1" applyFill="1" applyBorder="1" applyAlignment="1">
      <alignment horizontal="center" vertical="center"/>
    </xf>
    <xf numFmtId="0" fontId="11" fillId="0" borderId="14" xfId="0" applyNumberFormat="1" applyFont="1" applyFill="1" applyBorder="1" applyAlignment="1">
      <alignment horizontal="center" vertical="center"/>
    </xf>
    <xf numFmtId="0" fontId="11" fillId="0" borderId="15" xfId="0" applyNumberFormat="1" applyFont="1" applyFill="1" applyBorder="1" applyAlignment="1">
      <alignment horizontal="center" vertical="center"/>
    </xf>
    <xf numFmtId="0" fontId="11" fillId="0" borderId="14" xfId="0" applyNumberFormat="1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 quotePrefix="1">
      <alignment horizontal="center" vertical="center" wrapText="1"/>
    </xf>
    <xf numFmtId="0" fontId="11" fillId="0" borderId="16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11" fillId="0" borderId="15" xfId="0" applyFont="1" applyFill="1" applyBorder="1" applyAlignment="1">
      <alignment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0" fontId="0" fillId="0" borderId="16" xfId="0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49" fontId="0" fillId="0" borderId="10" xfId="0" applyNumberFormat="1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vertical="center" wrapText="1"/>
    </xf>
    <xf numFmtId="0" fontId="17" fillId="0" borderId="10" xfId="0" applyNumberFormat="1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vertical="center"/>
    </xf>
    <xf numFmtId="0" fontId="11" fillId="0" borderId="11" xfId="0" applyNumberFormat="1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10" xfId="0" applyFont="1" applyFill="1" applyBorder="1" applyAlignment="1" quotePrefix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2" fontId="5" fillId="0" borderId="11" xfId="0" applyNumberFormat="1" applyFont="1" applyFill="1" applyBorder="1" applyAlignment="1">
      <alignment horizontal="center" vertical="center"/>
    </xf>
    <xf numFmtId="0" fontId="5" fillId="0" borderId="20" xfId="0" applyNumberFormat="1" applyFont="1" applyFill="1" applyBorder="1" applyAlignment="1">
      <alignment horizontal="center" vertical="center"/>
    </xf>
    <xf numFmtId="0" fontId="5" fillId="0" borderId="20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 wrapText="1"/>
    </xf>
    <xf numFmtId="2" fontId="0" fillId="0" borderId="19" xfId="0" applyNumberFormat="1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2" fontId="0" fillId="0" borderId="11" xfId="0" applyNumberFormat="1" applyFill="1" applyBorder="1" applyAlignment="1">
      <alignment horizontal="center" vertical="center" wrapText="1"/>
    </xf>
    <xf numFmtId="172" fontId="0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 quotePrefix="1">
      <alignment horizontal="center" vertical="center" wrapText="1"/>
    </xf>
    <xf numFmtId="2" fontId="5" fillId="0" borderId="10" xfId="0" applyNumberFormat="1" applyFont="1" applyFill="1" applyBorder="1" applyAlignment="1" quotePrefix="1">
      <alignment horizontal="center" vertical="center" wrapText="1"/>
    </xf>
    <xf numFmtId="0" fontId="5" fillId="0" borderId="20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 quotePrefix="1">
      <alignment horizontal="center" vertical="center" wrapText="1"/>
    </xf>
    <xf numFmtId="0" fontId="5" fillId="0" borderId="10" xfId="0" applyNumberFormat="1" applyFont="1" applyFill="1" applyBorder="1" applyAlignment="1">
      <alignment vertical="center" wrapText="1"/>
    </xf>
    <xf numFmtId="0" fontId="5" fillId="0" borderId="14" xfId="0" applyNumberFormat="1" applyFont="1" applyFill="1" applyBorder="1" applyAlignment="1">
      <alignment vertical="center" wrapText="1"/>
    </xf>
    <xf numFmtId="10" fontId="5" fillId="0" borderId="17" xfId="0" applyNumberFormat="1" applyFont="1" applyFill="1" applyBorder="1" applyAlignment="1">
      <alignment horizontal="right" vertical="center" wrapText="1"/>
    </xf>
    <xf numFmtId="2" fontId="5" fillId="0" borderId="11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vertical="center" wrapText="1"/>
    </xf>
    <xf numFmtId="2" fontId="17" fillId="0" borderId="10" xfId="0" applyNumberFormat="1" applyFont="1" applyFill="1" applyBorder="1" applyAlignment="1">
      <alignment horizontal="center" vertical="center"/>
    </xf>
    <xf numFmtId="0" fontId="17" fillId="0" borderId="10" xfId="0" applyFont="1" applyFill="1" applyBorder="1" applyAlignment="1" quotePrefix="1">
      <alignment horizontal="center" vertical="center" wrapText="1"/>
    </xf>
    <xf numFmtId="2" fontId="17" fillId="0" borderId="10" xfId="0" applyNumberFormat="1" applyFont="1" applyFill="1" applyBorder="1" applyAlignment="1" quotePrefix="1">
      <alignment horizontal="center" vertical="center" wrapText="1"/>
    </xf>
    <xf numFmtId="1" fontId="17" fillId="0" borderId="10" xfId="0" applyNumberFormat="1" applyFont="1" applyFill="1" applyBorder="1" applyAlignment="1" quotePrefix="1">
      <alignment horizontal="center" vertical="center" wrapText="1"/>
    </xf>
    <xf numFmtId="0" fontId="17" fillId="0" borderId="10" xfId="0" applyFont="1" applyFill="1" applyBorder="1" applyAlignment="1">
      <alignment vertical="center"/>
    </xf>
    <xf numFmtId="0" fontId="17" fillId="0" borderId="14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left" vertical="top" wrapText="1"/>
    </xf>
    <xf numFmtId="0" fontId="17" fillId="0" borderId="12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vertical="top"/>
    </xf>
    <xf numFmtId="0" fontId="17" fillId="0" borderId="15" xfId="0" applyFont="1" applyFill="1" applyBorder="1" applyAlignment="1">
      <alignment vertical="top"/>
    </xf>
    <xf numFmtId="0" fontId="17" fillId="0" borderId="16" xfId="0" applyFont="1" applyFill="1" applyBorder="1" applyAlignment="1">
      <alignment vertical="top"/>
    </xf>
    <xf numFmtId="0" fontId="17" fillId="0" borderId="12" xfId="0" applyFont="1" applyFill="1" applyBorder="1" applyAlignment="1">
      <alignment vertical="center" wrapText="1"/>
    </xf>
    <xf numFmtId="0" fontId="11" fillId="0" borderId="20" xfId="0" applyNumberFormat="1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1" fontId="17" fillId="0" borderId="10" xfId="0" applyNumberFormat="1" applyFont="1" applyFill="1" applyBorder="1" applyAlignment="1">
      <alignment horizontal="center" vertical="center" wrapText="1"/>
    </xf>
    <xf numFmtId="2" fontId="26" fillId="0" borderId="10" xfId="0" applyNumberFormat="1" applyFont="1" applyFill="1" applyBorder="1" applyAlignment="1" quotePrefix="1">
      <alignment horizontal="center" vertical="center" wrapText="1"/>
    </xf>
    <xf numFmtId="49" fontId="17" fillId="0" borderId="10" xfId="0" applyNumberFormat="1" applyFont="1" applyFill="1" applyBorder="1" applyAlignment="1">
      <alignment horizontal="left" vertical="center" wrapText="1"/>
    </xf>
    <xf numFmtId="0" fontId="17" fillId="0" borderId="11" xfId="0" applyFont="1" applyFill="1" applyBorder="1" applyAlignment="1">
      <alignment vertical="center" wrapText="1"/>
    </xf>
    <xf numFmtId="0" fontId="26" fillId="0" borderId="10" xfId="0" applyNumberFormat="1" applyFont="1" applyFill="1" applyBorder="1" applyAlignment="1">
      <alignment vertical="center" wrapText="1"/>
    </xf>
    <xf numFmtId="0" fontId="17" fillId="0" borderId="0" xfId="0" applyNumberFormat="1" applyFont="1" applyFill="1" applyAlignment="1">
      <alignment horizontal="center" vertical="center" wrapText="1"/>
    </xf>
    <xf numFmtId="49" fontId="17" fillId="0" borderId="10" xfId="0" applyNumberFormat="1" applyFont="1" applyFill="1" applyBorder="1" applyAlignment="1">
      <alignment vertical="center" wrapText="1"/>
    </xf>
    <xf numFmtId="0" fontId="17" fillId="0" borderId="14" xfId="0" applyNumberFormat="1" applyFont="1" applyFill="1" applyBorder="1" applyAlignment="1">
      <alignment vertical="center" wrapText="1"/>
    </xf>
    <xf numFmtId="0" fontId="17" fillId="0" borderId="15" xfId="0" applyNumberFormat="1" applyFont="1" applyFill="1" applyBorder="1" applyAlignment="1">
      <alignment vertical="center" wrapText="1"/>
    </xf>
    <xf numFmtId="10" fontId="17" fillId="0" borderId="17" xfId="0" applyNumberFormat="1" applyFont="1" applyFill="1" applyBorder="1" applyAlignment="1">
      <alignment horizontal="right" vertical="center" wrapText="1"/>
    </xf>
    <xf numFmtId="49" fontId="17" fillId="0" borderId="10" xfId="0" applyNumberFormat="1" applyFont="1" applyFill="1" applyBorder="1" applyAlignment="1">
      <alignment horizontal="center" vertical="center" wrapText="1"/>
    </xf>
    <xf numFmtId="0" fontId="17" fillId="0" borderId="14" xfId="0" applyNumberFormat="1" applyFont="1" applyFill="1" applyBorder="1" applyAlignment="1">
      <alignment horizontal="center" vertical="center" wrapText="1"/>
    </xf>
    <xf numFmtId="2" fontId="17" fillId="0" borderId="11" xfId="0" applyNumberFormat="1" applyFont="1" applyFill="1" applyBorder="1" applyAlignment="1">
      <alignment horizontal="center" vertical="center" wrapText="1"/>
    </xf>
    <xf numFmtId="2" fontId="17" fillId="0" borderId="0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vertical="center" wrapText="1"/>
    </xf>
    <xf numFmtId="0" fontId="26" fillId="0" borderId="14" xfId="0" applyNumberFormat="1" applyFont="1" applyFill="1" applyBorder="1" applyAlignment="1">
      <alignment horizontal="center" vertical="center" wrapText="1"/>
    </xf>
    <xf numFmtId="0" fontId="17" fillId="0" borderId="10" xfId="0" applyNumberFormat="1" applyFont="1" applyFill="1" applyBorder="1" applyAlignment="1">
      <alignment horizontal="center" vertical="center"/>
    </xf>
    <xf numFmtId="0" fontId="17" fillId="0" borderId="10" xfId="0" applyFont="1" applyFill="1" applyBorder="1" applyAlignment="1" quotePrefix="1">
      <alignment horizontal="center" vertical="center" wrapText="1"/>
    </xf>
    <xf numFmtId="2" fontId="17" fillId="0" borderId="10" xfId="0" applyNumberFormat="1" applyFont="1" applyFill="1" applyBorder="1" applyAlignment="1" quotePrefix="1">
      <alignment horizontal="center" vertical="center" wrapText="1"/>
    </xf>
    <xf numFmtId="0" fontId="17" fillId="0" borderId="20" xfId="0" applyNumberFormat="1" applyFont="1" applyFill="1" applyBorder="1" applyAlignment="1">
      <alignment horizontal="center" vertical="center" wrapText="1"/>
    </xf>
    <xf numFmtId="2" fontId="26" fillId="0" borderId="11" xfId="0" applyNumberFormat="1" applyFont="1" applyFill="1" applyBorder="1" applyAlignment="1">
      <alignment horizontal="center" vertical="center" wrapText="1"/>
    </xf>
    <xf numFmtId="0" fontId="11" fillId="0" borderId="10" xfId="58" applyFont="1" applyFill="1" applyBorder="1" applyAlignment="1" applyProtection="1">
      <alignment horizontal="left" vertical="center" wrapText="1"/>
      <protection/>
    </xf>
    <xf numFmtId="1" fontId="17" fillId="0" borderId="10" xfId="58" applyNumberFormat="1" applyFont="1" applyFill="1" applyBorder="1" applyAlignment="1" applyProtection="1">
      <alignment horizontal="center" vertical="center"/>
      <protection/>
    </xf>
    <xf numFmtId="2" fontId="17" fillId="0" borderId="10" xfId="58" applyNumberFormat="1" applyFont="1" applyFill="1" applyBorder="1" applyAlignment="1" applyProtection="1">
      <alignment horizontal="center" vertical="center"/>
      <protection/>
    </xf>
    <xf numFmtId="0" fontId="11" fillId="0" borderId="10" xfId="64" applyFont="1" applyFill="1" applyBorder="1" applyAlignment="1" applyProtection="1">
      <alignment horizontal="center" vertical="center" wrapText="1"/>
      <protection/>
    </xf>
    <xf numFmtId="1" fontId="17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1" xfId="58" applyFont="1" applyFill="1" applyBorder="1" applyAlignment="1" applyProtection="1">
      <alignment horizontal="center" vertical="center"/>
      <protection/>
    </xf>
    <xf numFmtId="1" fontId="17" fillId="0" borderId="10" xfId="58" applyNumberFormat="1" applyFont="1" applyFill="1" applyBorder="1" applyAlignment="1">
      <alignment horizontal="center" vertical="center" wrapText="1"/>
      <protection/>
    </xf>
    <xf numFmtId="175" fontId="17" fillId="0" borderId="10" xfId="58" applyNumberFormat="1" applyFont="1" applyFill="1" applyBorder="1" applyAlignment="1" applyProtection="1">
      <alignment horizontal="center" vertical="center"/>
      <protection/>
    </xf>
    <xf numFmtId="0" fontId="11" fillId="0" borderId="14" xfId="0" applyNumberFormat="1" applyFont="1" applyFill="1" applyBorder="1" applyAlignment="1">
      <alignment vertical="center" wrapText="1"/>
    </xf>
    <xf numFmtId="0" fontId="11" fillId="0" borderId="15" xfId="0" applyNumberFormat="1" applyFont="1" applyFill="1" applyBorder="1" applyAlignment="1">
      <alignment vertical="center" wrapText="1"/>
    </xf>
    <xf numFmtId="0" fontId="17" fillId="0" borderId="16" xfId="0" applyNumberFormat="1" applyFont="1" applyFill="1" applyBorder="1" applyAlignment="1">
      <alignment vertical="center" wrapText="1"/>
    </xf>
    <xf numFmtId="0" fontId="3" fillId="0" borderId="10" xfId="58" applyFont="1" applyFill="1" applyBorder="1" applyAlignment="1" applyProtection="1">
      <alignment horizontal="center" vertical="center"/>
      <protection/>
    </xf>
    <xf numFmtId="0" fontId="3" fillId="0" borderId="10" xfId="58" applyFont="1" applyFill="1" applyBorder="1" applyAlignment="1" applyProtection="1">
      <alignment horizontal="left" vertical="center" wrapText="1"/>
      <protection/>
    </xf>
    <xf numFmtId="2" fontId="11" fillId="0" borderId="14" xfId="58" applyNumberFormat="1" applyFont="1" applyFill="1" applyBorder="1" applyAlignment="1" applyProtection="1">
      <alignment horizontal="center" vertical="center"/>
      <protection/>
    </xf>
    <xf numFmtId="2" fontId="11" fillId="0" borderId="10" xfId="58" applyNumberFormat="1" applyFont="1" applyFill="1" applyBorder="1" applyAlignment="1" applyProtection="1">
      <alignment horizontal="center" vertical="center"/>
      <protection/>
    </xf>
    <xf numFmtId="2" fontId="26" fillId="0" borderId="10" xfId="58" applyNumberFormat="1" applyFont="1" applyFill="1" applyBorder="1" applyAlignment="1" applyProtection="1">
      <alignment horizontal="center" vertical="center"/>
      <protection/>
    </xf>
    <xf numFmtId="0" fontId="17" fillId="0" borderId="10" xfId="58" applyFont="1" applyFill="1" applyBorder="1" applyAlignment="1" applyProtection="1">
      <alignment horizontal="center" vertical="center"/>
      <protection/>
    </xf>
    <xf numFmtId="0" fontId="17" fillId="0" borderId="10" xfId="58" applyFont="1" applyFill="1" applyBorder="1" applyAlignment="1" applyProtection="1">
      <alignment horizontal="left" vertical="center" wrapText="1"/>
      <protection/>
    </xf>
    <xf numFmtId="10" fontId="17" fillId="0" borderId="10" xfId="58" applyNumberFormat="1" applyFont="1" applyFill="1" applyBorder="1" applyAlignment="1">
      <alignment horizontal="center" vertical="center"/>
      <protection/>
    </xf>
    <xf numFmtId="1" fontId="17" fillId="0" borderId="10" xfId="58" applyNumberFormat="1" applyFont="1" applyFill="1" applyBorder="1" applyAlignment="1">
      <alignment horizontal="center" vertical="center"/>
      <protection/>
    </xf>
    <xf numFmtId="2" fontId="17" fillId="0" borderId="10" xfId="58" applyNumberFormat="1" applyFont="1" applyFill="1" applyBorder="1" applyAlignment="1">
      <alignment horizontal="center" vertical="center"/>
      <protection/>
    </xf>
    <xf numFmtId="175" fontId="17" fillId="0" borderId="10" xfId="0" applyNumberFormat="1" applyFont="1" applyFill="1" applyBorder="1" applyAlignment="1">
      <alignment horizontal="center" vertical="center" wrapText="1"/>
    </xf>
    <xf numFmtId="0" fontId="17" fillId="0" borderId="14" xfId="58" applyFont="1" applyFill="1" applyBorder="1" applyAlignment="1" applyProtection="1">
      <alignment horizontal="center" vertical="center"/>
      <protection/>
    </xf>
    <xf numFmtId="0" fontId="11" fillId="0" borderId="10" xfId="58" applyFont="1" applyFill="1" applyBorder="1" applyAlignment="1">
      <alignment horizontal="center" vertical="center"/>
      <protection/>
    </xf>
    <xf numFmtId="0" fontId="11" fillId="0" borderId="14" xfId="58" applyFont="1" applyFill="1" applyBorder="1" applyAlignment="1">
      <alignment horizontal="center" vertical="center"/>
      <protection/>
    </xf>
    <xf numFmtId="2" fontId="26" fillId="0" borderId="10" xfId="58" applyNumberFormat="1" applyFont="1" applyFill="1" applyBorder="1" applyAlignment="1">
      <alignment horizontal="center" vertical="center"/>
      <protection/>
    </xf>
    <xf numFmtId="0" fontId="18" fillId="0" borderId="10" xfId="57" applyFont="1" applyFill="1" applyBorder="1" applyAlignment="1">
      <alignment horizontal="center" vertical="center"/>
      <protection/>
    </xf>
    <xf numFmtId="0" fontId="18" fillId="0" borderId="10" xfId="57" applyFont="1" applyFill="1" applyBorder="1" applyAlignment="1">
      <alignment vertical="center" wrapText="1"/>
      <protection/>
    </xf>
    <xf numFmtId="2" fontId="18" fillId="0" borderId="10" xfId="57" applyNumberFormat="1" applyFont="1" applyFill="1" applyBorder="1" applyAlignment="1">
      <alignment horizontal="center" vertical="center"/>
      <protection/>
    </xf>
    <xf numFmtId="0" fontId="18" fillId="0" borderId="10" xfId="57" applyFont="1" applyFill="1" applyBorder="1" applyAlignment="1">
      <alignment vertical="top" wrapText="1"/>
      <protection/>
    </xf>
    <xf numFmtId="0" fontId="18" fillId="0" borderId="10" xfId="57" applyFont="1" applyFill="1" applyBorder="1" applyAlignment="1">
      <alignment horizontal="center" vertical="center" wrapText="1"/>
      <protection/>
    </xf>
    <xf numFmtId="0" fontId="11" fillId="0" borderId="10" xfId="57" applyFont="1" applyFill="1" applyBorder="1" applyAlignment="1">
      <alignment horizontal="center" vertical="center"/>
      <protection/>
    </xf>
    <xf numFmtId="1" fontId="11" fillId="0" borderId="10" xfId="57" applyNumberFormat="1" applyFont="1" applyFill="1" applyBorder="1" applyAlignment="1">
      <alignment horizontal="center" vertical="center"/>
      <protection/>
    </xf>
    <xf numFmtId="2" fontId="11" fillId="0" borderId="10" xfId="57" applyNumberFormat="1" applyFont="1" applyFill="1" applyBorder="1" applyAlignment="1">
      <alignment horizontal="center" vertical="center"/>
      <protection/>
    </xf>
    <xf numFmtId="0" fontId="18" fillId="0" borderId="10" xfId="57" applyFont="1" applyFill="1" applyBorder="1" applyAlignment="1">
      <alignment horizontal="center" vertical="top"/>
      <protection/>
    </xf>
    <xf numFmtId="1" fontId="18" fillId="0" borderId="10" xfId="57" applyNumberFormat="1" applyFont="1" applyFill="1" applyBorder="1" applyAlignment="1">
      <alignment horizontal="center" vertical="center"/>
      <protection/>
    </xf>
    <xf numFmtId="0" fontId="11" fillId="0" borderId="10" xfId="71" applyNumberFormat="1" applyFont="1" applyFill="1" applyBorder="1" applyAlignment="1">
      <alignment horizontal="center" vertical="center" wrapText="1"/>
      <protection/>
    </xf>
    <xf numFmtId="0" fontId="3" fillId="0" borderId="10" xfId="71" applyFont="1" applyFill="1" applyBorder="1" applyAlignment="1">
      <alignment vertical="center" wrapText="1"/>
      <protection/>
    </xf>
    <xf numFmtId="0" fontId="9" fillId="0" borderId="10" xfId="0" applyFont="1" applyFill="1" applyBorder="1" applyAlignment="1">
      <alignment/>
    </xf>
    <xf numFmtId="0" fontId="3" fillId="0" borderId="14" xfId="0" applyFont="1" applyFill="1" applyBorder="1" applyAlignment="1" quotePrefix="1">
      <alignment horizontal="center" vertical="top" wrapText="1"/>
    </xf>
    <xf numFmtId="0" fontId="3" fillId="0" borderId="15" xfId="0" applyFont="1" applyFill="1" applyBorder="1" applyAlignment="1" quotePrefix="1">
      <alignment horizontal="center" vertical="top" wrapText="1"/>
    </xf>
    <xf numFmtId="0" fontId="3" fillId="0" borderId="16" xfId="0" applyFont="1" applyFill="1" applyBorder="1" applyAlignment="1" quotePrefix="1">
      <alignment horizontal="center" vertical="top" wrapText="1"/>
    </xf>
    <xf numFmtId="0" fontId="11" fillId="0" borderId="17" xfId="0" applyNumberFormat="1" applyFont="1" applyFill="1" applyBorder="1" applyAlignment="1">
      <alignment horizontal="center" vertical="center"/>
    </xf>
    <xf numFmtId="0" fontId="11" fillId="0" borderId="12" xfId="0" applyFont="1" applyFill="1" applyBorder="1" applyAlignment="1" quotePrefix="1">
      <alignment horizontal="center" vertical="center" wrapText="1"/>
    </xf>
    <xf numFmtId="2" fontId="11" fillId="0" borderId="12" xfId="0" applyNumberFormat="1" applyFont="1" applyFill="1" applyBorder="1" applyAlignment="1" quotePrefix="1">
      <alignment horizontal="center" vertical="center" wrapText="1"/>
    </xf>
    <xf numFmtId="2" fontId="11" fillId="0" borderId="10" xfId="0" applyNumberFormat="1" applyFont="1" applyFill="1" applyBorder="1" applyAlignment="1" quotePrefix="1">
      <alignment horizontal="center" vertical="center" wrapText="1"/>
    </xf>
    <xf numFmtId="0" fontId="11" fillId="0" borderId="12" xfId="0" applyFont="1" applyFill="1" applyBorder="1" applyAlignment="1">
      <alignment vertical="center" wrapText="1"/>
    </xf>
    <xf numFmtId="0" fontId="11" fillId="0" borderId="10" xfId="0" applyFont="1" applyFill="1" applyBorder="1" applyAlignment="1" quotePrefix="1">
      <alignment horizontal="center" vertical="center" wrapText="1"/>
    </xf>
    <xf numFmtId="0" fontId="11" fillId="0" borderId="20" xfId="0" applyNumberFormat="1" applyFont="1" applyFill="1" applyBorder="1" applyAlignment="1">
      <alignment horizontal="center" vertical="center" wrapText="1"/>
    </xf>
    <xf numFmtId="0" fontId="11" fillId="0" borderId="14" xfId="0" applyNumberFormat="1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vertical="center" wrapText="1"/>
    </xf>
    <xf numFmtId="0" fontId="11" fillId="0" borderId="11" xfId="0" applyNumberFormat="1" applyFont="1" applyFill="1" applyBorder="1" applyAlignment="1">
      <alignment horizontal="center" vertical="center" wrapText="1"/>
    </xf>
    <xf numFmtId="49" fontId="11" fillId="0" borderId="2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 quotePrefix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2" fontId="11" fillId="0" borderId="12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Alignment="1">
      <alignment horizontal="center" vertical="center" wrapText="1"/>
    </xf>
    <xf numFmtId="49" fontId="11" fillId="0" borderId="21" xfId="0" applyNumberFormat="1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1" xfId="0" applyNumberForma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49" fontId="0" fillId="0" borderId="14" xfId="0" applyNumberFormat="1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vertical="center" wrapText="1"/>
    </xf>
    <xf numFmtId="49" fontId="11" fillId="0" borderId="10" xfId="0" applyNumberFormat="1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vertical="center" wrapText="1"/>
    </xf>
    <xf numFmtId="0" fontId="11" fillId="0" borderId="21" xfId="0" applyNumberFormat="1" applyFont="1" applyFill="1" applyBorder="1" applyAlignment="1">
      <alignment horizontal="center" vertical="center"/>
    </xf>
    <xf numFmtId="0" fontId="18" fillId="0" borderId="10" xfId="56" applyFont="1" applyFill="1" applyBorder="1" applyAlignment="1">
      <alignment horizontal="center" vertical="center" wrapText="1"/>
      <protection/>
    </xf>
    <xf numFmtId="0" fontId="18" fillId="0" borderId="10" xfId="56" applyFont="1" applyFill="1" applyBorder="1" applyAlignment="1">
      <alignment vertical="center" wrapText="1"/>
      <protection/>
    </xf>
    <xf numFmtId="2" fontId="18" fillId="0" borderId="10" xfId="56" applyNumberFormat="1" applyFont="1" applyFill="1" applyBorder="1" applyAlignment="1">
      <alignment horizontal="center" vertical="center" wrapText="1"/>
      <protection/>
    </xf>
    <xf numFmtId="1" fontId="5" fillId="0" borderId="14" xfId="0" applyNumberFormat="1" applyFont="1" applyFill="1" applyBorder="1" applyAlignment="1">
      <alignment vertical="center" wrapText="1"/>
    </xf>
    <xf numFmtId="1" fontId="5" fillId="0" borderId="15" xfId="0" applyNumberFormat="1" applyFont="1" applyFill="1" applyBorder="1" applyAlignment="1">
      <alignment vertical="center" wrapText="1"/>
    </xf>
    <xf numFmtId="1" fontId="5" fillId="0" borderId="16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 quotePrefix="1">
      <alignment vertical="center"/>
    </xf>
    <xf numFmtId="0" fontId="5" fillId="0" borderId="15" xfId="0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vertical="center" wrapText="1"/>
    </xf>
    <xf numFmtId="0" fontId="11" fillId="0" borderId="16" xfId="63" applyFont="1" applyFill="1" applyBorder="1" applyAlignment="1">
      <alignment horizontal="left" vertical="center" wrapText="1"/>
      <protection/>
    </xf>
    <xf numFmtId="0" fontId="11" fillId="0" borderId="16" xfId="0" applyFont="1" applyFill="1" applyBorder="1" applyAlignment="1">
      <alignment horizontal="center" vertical="center" wrapText="1"/>
    </xf>
    <xf numFmtId="2" fontId="3" fillId="0" borderId="21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0" fontId="11" fillId="0" borderId="10" xfId="63" applyFont="1" applyFill="1" applyBorder="1" applyAlignment="1">
      <alignment horizontal="left" vertical="center" wrapText="1"/>
      <protection/>
    </xf>
    <xf numFmtId="0" fontId="11" fillId="0" borderId="10" xfId="63" applyNumberFormat="1" applyFont="1" applyFill="1" applyBorder="1" applyAlignment="1">
      <alignment horizontal="center" vertical="center" wrapText="1"/>
      <protection/>
    </xf>
    <xf numFmtId="4" fontId="11" fillId="0" borderId="10" xfId="0" applyNumberFormat="1" applyFont="1" applyFill="1" applyBorder="1" applyAlignment="1">
      <alignment horizontal="center" vertical="center" wrapText="1"/>
    </xf>
    <xf numFmtId="0" fontId="11" fillId="0" borderId="10" xfId="67" applyFont="1" applyFill="1" applyBorder="1" applyAlignment="1">
      <alignment horizontal="center" vertical="center"/>
      <protection/>
    </xf>
    <xf numFmtId="0" fontId="3" fillId="0" borderId="10" xfId="67" applyFont="1" applyFill="1" applyBorder="1" applyAlignment="1">
      <alignment horizontal="center" vertical="center"/>
      <protection/>
    </xf>
    <xf numFmtId="0" fontId="3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11" fillId="0" borderId="11" xfId="67" applyFont="1" applyFill="1" applyBorder="1" applyAlignment="1">
      <alignment horizontal="center" vertical="top"/>
      <protection/>
    </xf>
    <xf numFmtId="49" fontId="5" fillId="0" borderId="15" xfId="0" applyNumberFormat="1" applyFont="1" applyFill="1" applyBorder="1" applyAlignment="1">
      <alignment vertical="center"/>
    </xf>
    <xf numFmtId="0" fontId="11" fillId="0" borderId="10" xfId="67" applyFont="1" applyFill="1" applyBorder="1" applyAlignment="1">
      <alignment horizontal="center" vertical="top"/>
      <protection/>
    </xf>
    <xf numFmtId="0" fontId="3" fillId="0" borderId="10" xfId="67" applyFont="1" applyFill="1" applyBorder="1" applyAlignment="1">
      <alignment horizontal="center" vertical="top"/>
      <protection/>
    </xf>
    <xf numFmtId="2" fontId="3" fillId="0" borderId="21" xfId="0" applyNumberFormat="1" applyFont="1" applyFill="1" applyBorder="1" applyAlignment="1">
      <alignment horizontal="center" vertical="center"/>
    </xf>
    <xf numFmtId="0" fontId="3" fillId="0" borderId="10" xfId="67" applyFont="1" applyFill="1" applyBorder="1" applyAlignment="1">
      <alignment horizontal="center"/>
      <protection/>
    </xf>
    <xf numFmtId="0" fontId="8" fillId="0" borderId="11" xfId="0" applyFont="1" applyFill="1" applyBorder="1" applyAlignment="1">
      <alignment horizontal="center" vertical="top" wrapText="1"/>
    </xf>
    <xf numFmtId="0" fontId="8" fillId="0" borderId="21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 quotePrefix="1">
      <alignment horizontal="center" vertical="top" wrapText="1"/>
    </xf>
    <xf numFmtId="0" fontId="8" fillId="0" borderId="21" xfId="0" applyFont="1" applyFill="1" applyBorder="1" applyAlignment="1" quotePrefix="1">
      <alignment horizontal="center" vertical="top" wrapText="1"/>
    </xf>
    <xf numFmtId="0" fontId="8" fillId="0" borderId="12" xfId="0" applyFont="1" applyFill="1" applyBorder="1" applyAlignment="1" quotePrefix="1">
      <alignment horizontal="center" vertical="top" wrapText="1"/>
    </xf>
    <xf numFmtId="0" fontId="8" fillId="0" borderId="17" xfId="0" applyFont="1" applyFill="1" applyBorder="1" applyAlignment="1">
      <alignment horizontal="left" vertical="top" wrapText="1"/>
    </xf>
    <xf numFmtId="0" fontId="8" fillId="0" borderId="18" xfId="0" applyFont="1" applyFill="1" applyBorder="1" applyAlignment="1">
      <alignment horizontal="left" vertical="top" wrapText="1"/>
    </xf>
    <xf numFmtId="0" fontId="8" fillId="0" borderId="14" xfId="0" applyFont="1" applyFill="1" applyBorder="1" applyAlignment="1">
      <alignment horizontal="left" vertical="top" wrapText="1"/>
    </xf>
    <xf numFmtId="0" fontId="8" fillId="0" borderId="15" xfId="0" applyFont="1" applyFill="1" applyBorder="1" applyAlignment="1">
      <alignment horizontal="left" vertical="top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15" fillId="0" borderId="13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top" wrapText="1"/>
    </xf>
    <xf numFmtId="0" fontId="29" fillId="0" borderId="14" xfId="0" applyFont="1" applyFill="1" applyBorder="1" applyAlignment="1">
      <alignment horizontal="center" vertical="top" wrapText="1"/>
    </xf>
    <xf numFmtId="0" fontId="29" fillId="0" borderId="16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 vertical="top" wrapText="1"/>
    </xf>
    <xf numFmtId="0" fontId="15" fillId="0" borderId="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left" vertical="center" wrapText="1"/>
    </xf>
    <xf numFmtId="49" fontId="4" fillId="0" borderId="16" xfId="0" applyNumberFormat="1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2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0" fillId="34" borderId="0" xfId="0" applyFont="1" applyFill="1" applyAlignment="1">
      <alignment horizontal="left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top"/>
    </xf>
    <xf numFmtId="0" fontId="5" fillId="0" borderId="11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top" wrapText="1"/>
    </xf>
    <xf numFmtId="0" fontId="22" fillId="0" borderId="0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top" wrapText="1"/>
    </xf>
    <xf numFmtId="0" fontId="4" fillId="0" borderId="23" xfId="0" applyFont="1" applyFill="1" applyBorder="1" applyAlignment="1">
      <alignment horizontal="center" vertical="top" wrapText="1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left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top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left" vertical="top" wrapText="1"/>
    </xf>
    <xf numFmtId="0" fontId="17" fillId="0" borderId="16" xfId="0" applyFont="1" applyFill="1" applyBorder="1" applyAlignment="1">
      <alignment horizontal="left" vertical="top" wrapText="1"/>
    </xf>
    <xf numFmtId="0" fontId="17" fillId="0" borderId="11" xfId="0" applyFont="1" applyFill="1" applyBorder="1" applyAlignment="1">
      <alignment horizontal="center" vertical="top" wrapText="1"/>
    </xf>
    <xf numFmtId="0" fontId="17" fillId="0" borderId="21" xfId="0" applyFont="1" applyFill="1" applyBorder="1" applyAlignment="1">
      <alignment horizontal="center" vertical="top" wrapText="1"/>
    </xf>
    <xf numFmtId="0" fontId="17" fillId="0" borderId="12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16" fillId="0" borderId="0" xfId="58" applyFont="1" applyFill="1" applyAlignment="1" applyProtection="1">
      <alignment horizontal="center" vertical="center" wrapText="1"/>
      <protection/>
    </xf>
    <xf numFmtId="0" fontId="11" fillId="0" borderId="11" xfId="58" applyFont="1" applyFill="1" applyBorder="1" applyAlignment="1" applyProtection="1">
      <alignment horizontal="center" vertical="center"/>
      <protection/>
    </xf>
    <xf numFmtId="0" fontId="11" fillId="0" borderId="21" xfId="58" applyFont="1" applyFill="1" applyBorder="1" applyAlignment="1" applyProtection="1">
      <alignment horizontal="center" vertical="center"/>
      <protection/>
    </xf>
    <xf numFmtId="0" fontId="11" fillId="0" borderId="12" xfId="58" applyFont="1" applyFill="1" applyBorder="1" applyAlignment="1" applyProtection="1">
      <alignment horizontal="center" vertical="center"/>
      <protection/>
    </xf>
    <xf numFmtId="0" fontId="16" fillId="0" borderId="0" xfId="58" applyFont="1" applyFill="1" applyBorder="1" applyAlignment="1" applyProtection="1">
      <alignment horizontal="center"/>
      <protection/>
    </xf>
    <xf numFmtId="0" fontId="3" fillId="0" borderId="10" xfId="58" applyFont="1" applyFill="1" applyBorder="1" applyAlignment="1" applyProtection="1">
      <alignment horizontal="center" vertical="center" wrapText="1"/>
      <protection/>
    </xf>
    <xf numFmtId="0" fontId="22" fillId="0" borderId="0" xfId="71" applyFont="1" applyFill="1" applyBorder="1" applyAlignment="1">
      <alignment horizontal="center" wrapText="1"/>
      <protection/>
    </xf>
    <xf numFmtId="0" fontId="16" fillId="0" borderId="0" xfId="68" applyFont="1" applyFill="1" applyBorder="1" applyAlignment="1">
      <alignment horizontal="center" vertical="center" wrapText="1"/>
      <protection/>
    </xf>
    <xf numFmtId="0" fontId="11" fillId="0" borderId="0" xfId="0" applyFont="1" applyFill="1" applyAlignment="1">
      <alignment horizontal="left" vertical="top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NumberForma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right" vertical="center" wrapText="1"/>
    </xf>
    <xf numFmtId="0" fontId="16" fillId="0" borderId="0" xfId="67" applyFont="1" applyFill="1" applyBorder="1" applyAlignment="1">
      <alignment horizontal="center" wrapText="1"/>
      <protection/>
    </xf>
    <xf numFmtId="0" fontId="19" fillId="0" borderId="0" xfId="67" applyFont="1" applyFill="1" applyBorder="1" applyAlignment="1">
      <alignment horizontal="center" wrapText="1"/>
      <protection/>
    </xf>
    <xf numFmtId="0" fontId="4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Alignment="1">
      <alignment horizontal="center"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0" borderId="15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left" vertical="center"/>
    </xf>
    <xf numFmtId="0" fontId="11" fillId="0" borderId="16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horizontal="left" vertical="center"/>
    </xf>
    <xf numFmtId="0" fontId="15" fillId="0" borderId="0" xfId="67" applyFont="1" applyFill="1" applyBorder="1" applyAlignment="1">
      <alignment horizontal="center"/>
      <protection/>
    </xf>
    <xf numFmtId="0" fontId="11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horizontal="left" vertical="center"/>
    </xf>
    <xf numFmtId="0" fontId="15" fillId="0" borderId="0" xfId="67" applyFont="1" applyFill="1" applyBorder="1" applyAlignment="1">
      <alignment horizontal="center" vertical="center"/>
      <protection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10" xfId="56"/>
    <cellStyle name="Normal 10 4" xfId="57"/>
    <cellStyle name="Normal 2" xfId="58"/>
    <cellStyle name="Normal 2 2" xfId="59"/>
    <cellStyle name="Normal 2 2 2 3" xfId="60"/>
    <cellStyle name="Normal 2 2 3" xfId="61"/>
    <cellStyle name="Normal 2 2 3 3" xfId="62"/>
    <cellStyle name="Normal 21" xfId="63"/>
    <cellStyle name="Normal 3" xfId="64"/>
    <cellStyle name="Normal 3 2" xfId="65"/>
    <cellStyle name="Normal 3 3" xfId="66"/>
    <cellStyle name="Normal 3 4" xfId="67"/>
    <cellStyle name="Normal 3 4 2" xfId="68"/>
    <cellStyle name="Normal 4" xfId="69"/>
    <cellStyle name="Normal 5" xfId="70"/>
    <cellStyle name="Normal 6" xfId="71"/>
    <cellStyle name="Normal 8" xfId="72"/>
    <cellStyle name="Note" xfId="73"/>
    <cellStyle name="Output" xfId="74"/>
    <cellStyle name="Percent" xfId="75"/>
    <cellStyle name="Title" xfId="76"/>
    <cellStyle name="Total" xfId="77"/>
    <cellStyle name="Warning Text" xfId="78"/>
  </cellStyles>
  <dxfs count="13">
    <dxf>
      <font>
        <color indexed="13"/>
      </font>
      <fill>
        <patternFill>
          <bgColor indexed="13"/>
        </patternFill>
      </fill>
    </dxf>
    <dxf>
      <font>
        <color indexed="13"/>
      </font>
      <fill>
        <patternFill>
          <bgColor indexed="13"/>
        </patternFill>
      </fill>
    </dxf>
    <dxf>
      <font>
        <color indexed="13"/>
      </font>
      <fill>
        <patternFill>
          <bgColor indexed="13"/>
        </patternFill>
      </fill>
    </dxf>
    <dxf>
      <font>
        <color indexed="13"/>
      </font>
      <fill>
        <patternFill>
          <bgColor indexed="13"/>
        </patternFill>
      </fill>
    </dxf>
    <dxf>
      <font>
        <color indexed="13"/>
      </font>
      <fill>
        <patternFill>
          <bgColor indexed="13"/>
        </patternFill>
      </fill>
    </dxf>
    <dxf>
      <font>
        <color indexed="13"/>
      </font>
      <fill>
        <patternFill>
          <bgColor indexed="13"/>
        </patternFill>
      </fill>
    </dxf>
    <dxf>
      <font>
        <color indexed="13"/>
      </font>
      <fill>
        <patternFill>
          <bgColor indexed="13"/>
        </patternFill>
      </fill>
    </dxf>
    <dxf>
      <font>
        <color indexed="13"/>
      </font>
      <fill>
        <patternFill>
          <bgColor indexed="13"/>
        </patternFill>
      </fill>
    </dxf>
    <dxf>
      <font>
        <color indexed="13"/>
      </font>
      <fill>
        <patternFill>
          <bgColor indexed="13"/>
        </patternFill>
      </fill>
    </dxf>
    <dxf>
      <font>
        <color indexed="13"/>
      </font>
      <fill>
        <patternFill>
          <bgColor indexed="13"/>
        </patternFill>
      </fill>
    </dxf>
    <dxf>
      <font>
        <color indexed="13"/>
      </font>
      <fill>
        <patternFill>
          <bgColor indexed="13"/>
        </patternFill>
      </fill>
    </dxf>
    <dxf>
      <font>
        <color indexed="13"/>
      </font>
      <fill>
        <patternFill>
          <bgColor indexed="13"/>
        </patternFill>
      </fill>
    </dxf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externalLink" Target="externalLinks/externalLink1.xml" /><Relationship Id="rId3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742950</xdr:colOff>
      <xdr:row>367</xdr:row>
      <xdr:rowOff>0</xdr:rowOff>
    </xdr:from>
    <xdr:to>
      <xdr:col>10</xdr:col>
      <xdr:colOff>742950</xdr:colOff>
      <xdr:row>367</xdr:row>
      <xdr:rowOff>0</xdr:rowOff>
    </xdr:to>
    <xdr:sp>
      <xdr:nvSpPr>
        <xdr:cNvPr id="1" name="Line 4"/>
        <xdr:cNvSpPr>
          <a:spLocks/>
        </xdr:cNvSpPr>
      </xdr:nvSpPr>
      <xdr:spPr>
        <a:xfrm>
          <a:off x="11172825" y="11592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ISHA\AppData\Local\Temp\WPDNSE\{00610000-59E8-0000-0000-000000000000}\SCH-E%20%2014-15%20LT%20page%20157-16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-1 page 157"/>
      <sheetName val="E-2 page 158"/>
      <sheetName val="E-3 page159"/>
      <sheetName val="E-4 page 160"/>
      <sheetName val="E-5 page 161"/>
      <sheetName val="E-6 page 162"/>
    </sheetNames>
    <sheetDataSet>
      <sheetData sheetId="1">
        <row r="19">
          <cell r="F19">
            <v>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S384"/>
  <sheetViews>
    <sheetView zoomScalePageLayoutView="0" workbookViewId="0" topLeftCell="A1">
      <pane xSplit="1" ySplit="6" topLeftCell="B5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69" sqref="D69"/>
    </sheetView>
  </sheetViews>
  <sheetFormatPr defaultColWidth="9.140625" defaultRowHeight="12.75"/>
  <cols>
    <col min="1" max="1" width="6.57421875" style="1" customWidth="1"/>
    <col min="2" max="2" width="4.28125" style="1" bestFit="1" customWidth="1"/>
    <col min="3" max="3" width="55.421875" style="1" customWidth="1"/>
    <col min="4" max="4" width="15.7109375" style="1" customWidth="1"/>
    <col min="5" max="5" width="10.421875" style="1" bestFit="1" customWidth="1"/>
    <col min="6" max="7" width="13.7109375" style="1" customWidth="1"/>
    <col min="8" max="8" width="11.7109375" style="1" customWidth="1"/>
    <col min="9" max="9" width="15.57421875" style="1" customWidth="1"/>
    <col min="10" max="10" width="9.28125" style="1" customWidth="1"/>
    <col min="11" max="11" width="22.421875" style="1" bestFit="1" customWidth="1"/>
    <col min="12" max="12" width="49.140625" style="1" bestFit="1" customWidth="1"/>
    <col min="13" max="13" width="8.00390625" style="1" customWidth="1"/>
    <col min="14" max="15" width="9.140625" style="1" customWidth="1"/>
    <col min="16" max="16" width="19.8515625" style="1" bestFit="1" customWidth="1"/>
    <col min="17" max="16384" width="9.140625" style="1" customWidth="1"/>
  </cols>
  <sheetData>
    <row r="1" spans="1:13" ht="24" customHeight="1">
      <c r="A1" s="11"/>
      <c r="B1" s="1051" t="s">
        <v>1754</v>
      </c>
      <c r="C1" s="1051"/>
      <c r="D1" s="1051"/>
      <c r="E1" s="1051"/>
      <c r="F1" s="1051"/>
      <c r="G1" s="1051"/>
      <c r="H1" s="91"/>
      <c r="I1" s="91"/>
      <c r="J1" s="91"/>
      <c r="K1" s="91"/>
      <c r="L1" s="91"/>
      <c r="M1" s="91"/>
    </row>
    <row r="2" spans="1:13" ht="14.2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9" ht="22.5" customHeight="1">
      <c r="A3" s="1052" t="s">
        <v>1225</v>
      </c>
      <c r="B3" s="1054" t="s">
        <v>353</v>
      </c>
      <c r="C3" s="1055"/>
      <c r="D3" s="1052" t="s">
        <v>354</v>
      </c>
      <c r="E3" s="1052" t="s">
        <v>17</v>
      </c>
      <c r="F3" s="94" t="s">
        <v>84</v>
      </c>
      <c r="G3" s="94" t="s">
        <v>1709</v>
      </c>
      <c r="H3" s="1036" t="s">
        <v>386</v>
      </c>
      <c r="I3" s="11"/>
      <c r="J3" s="11"/>
      <c r="K3" s="11"/>
      <c r="L3" s="288"/>
      <c r="M3" s="11"/>
      <c r="S3" s="93"/>
    </row>
    <row r="4" spans="1:19" ht="51" customHeight="1">
      <c r="A4" s="1053"/>
      <c r="B4" s="1056"/>
      <c r="C4" s="1057"/>
      <c r="D4" s="1053"/>
      <c r="E4" s="1053"/>
      <c r="F4" s="94" t="s">
        <v>986</v>
      </c>
      <c r="G4" s="94" t="s">
        <v>986</v>
      </c>
      <c r="H4" s="1036"/>
      <c r="I4" s="11"/>
      <c r="J4" s="11"/>
      <c r="K4" s="11"/>
      <c r="L4" s="288"/>
      <c r="M4" s="11"/>
      <c r="S4" s="93"/>
    </row>
    <row r="5" spans="1:13" ht="16.5">
      <c r="A5" s="136">
        <v>1</v>
      </c>
      <c r="B5" s="1047">
        <v>2</v>
      </c>
      <c r="C5" s="1048"/>
      <c r="D5" s="136">
        <v>3</v>
      </c>
      <c r="E5" s="136">
        <v>4</v>
      </c>
      <c r="F5" s="95">
        <v>5</v>
      </c>
      <c r="G5" s="95">
        <v>6</v>
      </c>
      <c r="H5" s="95">
        <v>7</v>
      </c>
      <c r="I5" s="11"/>
      <c r="J5" s="11"/>
      <c r="K5" s="11"/>
      <c r="L5" s="11"/>
      <c r="M5" s="11"/>
    </row>
    <row r="6" spans="1:13" ht="15.75">
      <c r="A6" s="1049" t="s">
        <v>387</v>
      </c>
      <c r="B6" s="1050"/>
      <c r="C6" s="1050"/>
      <c r="D6" s="137"/>
      <c r="E6" s="138"/>
      <c r="F6" s="64"/>
      <c r="G6" s="64"/>
      <c r="H6" s="65"/>
      <c r="I6" s="11"/>
      <c r="J6" s="11"/>
      <c r="K6" s="11"/>
      <c r="L6" s="11"/>
      <c r="M6" s="11"/>
    </row>
    <row r="7" spans="1:13" ht="36">
      <c r="A7" s="1037" t="s">
        <v>388</v>
      </c>
      <c r="B7" s="139"/>
      <c r="C7" s="140" t="s">
        <v>439</v>
      </c>
      <c r="D7" s="70"/>
      <c r="E7" s="112"/>
      <c r="F7" s="70"/>
      <c r="G7" s="70"/>
      <c r="H7" s="70"/>
      <c r="I7" s="11"/>
      <c r="J7" s="11"/>
      <c r="K7" s="11"/>
      <c r="L7" s="11"/>
      <c r="M7" s="11"/>
    </row>
    <row r="8" spans="1:13" ht="19.5" customHeight="1">
      <c r="A8" s="1038"/>
      <c r="B8" s="141" t="s">
        <v>15</v>
      </c>
      <c r="C8" s="140" t="s">
        <v>732</v>
      </c>
      <c r="D8" s="141" t="s">
        <v>733</v>
      </c>
      <c r="E8" s="141" t="s">
        <v>1035</v>
      </c>
      <c r="F8" s="142">
        <v>290208</v>
      </c>
      <c r="G8" s="142">
        <v>294651</v>
      </c>
      <c r="H8" s="143">
        <f>(G8-F8)*100/F8</f>
        <v>1.5309708898445253</v>
      </c>
      <c r="I8" s="11"/>
      <c r="J8" s="11"/>
      <c r="K8" s="108"/>
      <c r="L8" s="108"/>
      <c r="M8" s="11"/>
    </row>
    <row r="9" spans="1:13" ht="36">
      <c r="A9" s="1038"/>
      <c r="B9" s="141" t="s">
        <v>909</v>
      </c>
      <c r="C9" s="140" t="s">
        <v>1037</v>
      </c>
      <c r="D9" s="141" t="s">
        <v>1036</v>
      </c>
      <c r="E9" s="141" t="s">
        <v>1035</v>
      </c>
      <c r="F9" s="142">
        <v>459820</v>
      </c>
      <c r="G9" s="142">
        <v>457540</v>
      </c>
      <c r="H9" s="143">
        <f>(G9-F9)*100/F9</f>
        <v>-0.49584620068722546</v>
      </c>
      <c r="I9" s="11"/>
      <c r="J9" s="11"/>
      <c r="K9" s="11"/>
      <c r="L9" s="11"/>
      <c r="M9" s="11"/>
    </row>
    <row r="10" spans="1:13" ht="18">
      <c r="A10" s="1039"/>
      <c r="B10" s="144" t="s">
        <v>158</v>
      </c>
      <c r="C10" s="140" t="s">
        <v>987</v>
      </c>
      <c r="D10" s="141" t="s">
        <v>1038</v>
      </c>
      <c r="E10" s="141" t="s">
        <v>1035</v>
      </c>
      <c r="F10" s="142">
        <v>332390</v>
      </c>
      <c r="G10" s="142">
        <v>327410</v>
      </c>
      <c r="H10" s="143">
        <f>(G10-F10)*100/F10</f>
        <v>-1.4982400192544902</v>
      </c>
      <c r="I10" s="11"/>
      <c r="J10" s="109"/>
      <c r="K10" s="11"/>
      <c r="L10" s="92"/>
      <c r="M10" s="11"/>
    </row>
    <row r="11" spans="1:13" ht="9.75" customHeight="1">
      <c r="A11" s="141"/>
      <c r="B11" s="145"/>
      <c r="C11" s="146"/>
      <c r="D11" s="147"/>
      <c r="E11" s="146"/>
      <c r="F11" s="148"/>
      <c r="G11" s="148"/>
      <c r="H11" s="143"/>
      <c r="I11" s="11"/>
      <c r="J11" s="11"/>
      <c r="K11" s="11"/>
      <c r="L11" s="11"/>
      <c r="M11" s="11"/>
    </row>
    <row r="12" spans="1:13" ht="36">
      <c r="A12" s="1033" t="s">
        <v>1039</v>
      </c>
      <c r="B12" s="141"/>
      <c r="C12" s="149" t="s">
        <v>861</v>
      </c>
      <c r="D12" s="141" t="s">
        <v>1040</v>
      </c>
      <c r="E12" s="150"/>
      <c r="F12" s="151"/>
      <c r="G12" s="151"/>
      <c r="H12" s="143"/>
      <c r="I12" s="11"/>
      <c r="J12" s="8"/>
      <c r="K12" s="8"/>
      <c r="L12" s="11"/>
      <c r="M12" s="11"/>
    </row>
    <row r="13" spans="1:13" ht="18">
      <c r="A13" s="1034"/>
      <c r="B13" s="141" t="s">
        <v>15</v>
      </c>
      <c r="C13" s="140" t="s">
        <v>732</v>
      </c>
      <c r="D13" s="141" t="s">
        <v>1041</v>
      </c>
      <c r="E13" s="141" t="s">
        <v>926</v>
      </c>
      <c r="F13" s="142">
        <v>234974</v>
      </c>
      <c r="G13" s="142">
        <v>229401</v>
      </c>
      <c r="H13" s="143">
        <f>(G13-F13)*100/F13</f>
        <v>-2.371751768280746</v>
      </c>
      <c r="I13" s="11"/>
      <c r="J13" s="8"/>
      <c r="K13" s="179"/>
      <c r="L13" s="11"/>
      <c r="M13" s="11"/>
    </row>
    <row r="14" spans="1:13" ht="18">
      <c r="A14" s="1034"/>
      <c r="B14" s="141" t="s">
        <v>909</v>
      </c>
      <c r="C14" s="149" t="s">
        <v>1042</v>
      </c>
      <c r="D14" s="141" t="s">
        <v>1043</v>
      </c>
      <c r="E14" s="141" t="s">
        <v>926</v>
      </c>
      <c r="F14" s="142">
        <v>292201</v>
      </c>
      <c r="G14" s="142">
        <v>287977</v>
      </c>
      <c r="H14" s="143">
        <f>(G14-F14)*100/F14</f>
        <v>-1.445580268376905</v>
      </c>
      <c r="I14" s="11"/>
      <c r="J14" s="8"/>
      <c r="K14" s="179"/>
      <c r="L14" s="11"/>
      <c r="M14" s="11"/>
    </row>
    <row r="15" spans="1:13" ht="9.75" customHeight="1">
      <c r="A15" s="141"/>
      <c r="B15" s="152"/>
      <c r="C15" s="153"/>
      <c r="D15" s="154"/>
      <c r="E15" s="153"/>
      <c r="F15" s="155"/>
      <c r="G15" s="155"/>
      <c r="H15" s="143"/>
      <c r="I15" s="11"/>
      <c r="J15" s="11"/>
      <c r="K15" s="11"/>
      <c r="L15" s="11"/>
      <c r="M15" s="11"/>
    </row>
    <row r="16" spans="1:13" ht="36">
      <c r="A16" s="1033" t="s">
        <v>1044</v>
      </c>
      <c r="B16" s="152"/>
      <c r="C16" s="140" t="s">
        <v>440</v>
      </c>
      <c r="D16" s="154"/>
      <c r="E16" s="153"/>
      <c r="F16" s="155"/>
      <c r="G16" s="155"/>
      <c r="H16" s="143"/>
      <c r="I16" s="11"/>
      <c r="J16" s="11"/>
      <c r="K16" s="11"/>
      <c r="L16" s="11"/>
      <c r="M16" s="11"/>
    </row>
    <row r="17" spans="1:13" ht="18">
      <c r="A17" s="1034"/>
      <c r="B17" s="141" t="s">
        <v>15</v>
      </c>
      <c r="C17" s="140" t="s">
        <v>1045</v>
      </c>
      <c r="D17" s="141" t="s">
        <v>1046</v>
      </c>
      <c r="E17" s="141" t="s">
        <v>926</v>
      </c>
      <c r="F17" s="142">
        <v>57588</v>
      </c>
      <c r="G17" s="142">
        <v>54683</v>
      </c>
      <c r="H17" s="143">
        <f>(G17-F17)*100/F17</f>
        <v>-5.044453705633118</v>
      </c>
      <c r="I17" s="11"/>
      <c r="J17" s="110"/>
      <c r="K17" s="11"/>
      <c r="L17" s="11"/>
      <c r="M17" s="11"/>
    </row>
    <row r="18" spans="1:13" ht="20.25" customHeight="1">
      <c r="A18" s="1034"/>
      <c r="B18" s="156" t="s">
        <v>909</v>
      </c>
      <c r="C18" s="157" t="s">
        <v>1048</v>
      </c>
      <c r="D18" s="141" t="s">
        <v>1047</v>
      </c>
      <c r="E18" s="141" t="s">
        <v>926</v>
      </c>
      <c r="F18" s="142">
        <v>88088</v>
      </c>
      <c r="G18" s="142">
        <v>86977</v>
      </c>
      <c r="H18" s="143">
        <f>(G18-F18)*100/F18</f>
        <v>-1.2612387612387612</v>
      </c>
      <c r="I18" s="11"/>
      <c r="J18" s="106"/>
      <c r="K18" s="11"/>
      <c r="L18" s="11"/>
      <c r="M18" s="11"/>
    </row>
    <row r="19" spans="1:13" ht="18">
      <c r="A19" s="1035"/>
      <c r="B19" s="141" t="s">
        <v>158</v>
      </c>
      <c r="C19" s="140" t="s">
        <v>987</v>
      </c>
      <c r="D19" s="141" t="s">
        <v>1049</v>
      </c>
      <c r="E19" s="141" t="s">
        <v>926</v>
      </c>
      <c r="F19" s="142">
        <v>62662</v>
      </c>
      <c r="G19" s="142">
        <v>61014</v>
      </c>
      <c r="H19" s="143">
        <f>(G19-F19)*100/F19</f>
        <v>-2.6299830838466693</v>
      </c>
      <c r="I19" s="11"/>
      <c r="J19" s="106"/>
      <c r="K19" s="11"/>
      <c r="L19" s="92"/>
      <c r="M19" s="11"/>
    </row>
    <row r="20" spans="1:13" ht="9.75" customHeight="1">
      <c r="A20" s="141"/>
      <c r="B20" s="139"/>
      <c r="C20" s="112"/>
      <c r="D20" s="70"/>
      <c r="E20" s="112"/>
      <c r="F20" s="158"/>
      <c r="G20" s="158"/>
      <c r="H20" s="159"/>
      <c r="I20" s="11"/>
      <c r="J20" s="37"/>
      <c r="K20" s="11"/>
      <c r="L20" s="11"/>
      <c r="M20" s="11"/>
    </row>
    <row r="21" spans="1:13" ht="36">
      <c r="A21" s="1033" t="s">
        <v>1050</v>
      </c>
      <c r="B21" s="140"/>
      <c r="C21" s="140" t="s">
        <v>441</v>
      </c>
      <c r="D21" s="160"/>
      <c r="E21" s="161"/>
      <c r="F21" s="162"/>
      <c r="G21" s="162"/>
      <c r="H21" s="143"/>
      <c r="I21" s="11"/>
      <c r="J21" s="37"/>
      <c r="K21" s="11"/>
      <c r="L21" s="11"/>
      <c r="M21" s="11"/>
    </row>
    <row r="22" spans="1:13" ht="20.25" customHeight="1">
      <c r="A22" s="1034"/>
      <c r="B22" s="141" t="s">
        <v>15</v>
      </c>
      <c r="C22" s="140" t="s">
        <v>295</v>
      </c>
      <c r="D22" s="141" t="s">
        <v>296</v>
      </c>
      <c r="E22" s="141" t="s">
        <v>1035</v>
      </c>
      <c r="F22" s="142">
        <v>335828</v>
      </c>
      <c r="G22" s="142">
        <v>346806</v>
      </c>
      <c r="H22" s="143">
        <f>(G22-F22)*100/F22</f>
        <v>3.268935288302345</v>
      </c>
      <c r="I22" s="11"/>
      <c r="J22" s="106"/>
      <c r="K22" s="11"/>
      <c r="L22" s="11"/>
      <c r="M22" s="11"/>
    </row>
    <row r="23" spans="1:13" ht="36.75" customHeight="1">
      <c r="A23" s="1034"/>
      <c r="B23" s="141" t="s">
        <v>909</v>
      </c>
      <c r="C23" s="140" t="s">
        <v>298</v>
      </c>
      <c r="D23" s="141" t="s">
        <v>297</v>
      </c>
      <c r="E23" s="141" t="s">
        <v>1035</v>
      </c>
      <c r="F23" s="142">
        <v>507332</v>
      </c>
      <c r="G23" s="142">
        <v>509694</v>
      </c>
      <c r="H23" s="143">
        <f>(G23-F23)*100/F23</f>
        <v>0.4655728398760575</v>
      </c>
      <c r="I23" s="11"/>
      <c r="J23" s="106"/>
      <c r="K23" s="11"/>
      <c r="L23" s="11"/>
      <c r="M23" s="11"/>
    </row>
    <row r="24" spans="1:13" ht="21.75" customHeight="1">
      <c r="A24" s="1035"/>
      <c r="B24" s="141" t="s">
        <v>158</v>
      </c>
      <c r="C24" s="140" t="s">
        <v>987</v>
      </c>
      <c r="D24" s="141" t="s">
        <v>299</v>
      </c>
      <c r="E24" s="141" t="s">
        <v>926</v>
      </c>
      <c r="F24" s="142">
        <v>378854</v>
      </c>
      <c r="G24" s="142">
        <v>378457</v>
      </c>
      <c r="H24" s="143">
        <f>(G24-F24)*100/F24</f>
        <v>-0.10478970790858748</v>
      </c>
      <c r="I24" s="11"/>
      <c r="J24" s="106"/>
      <c r="K24" s="11"/>
      <c r="L24" s="92"/>
      <c r="M24" s="11"/>
    </row>
    <row r="25" spans="1:13" ht="9.75" customHeight="1">
      <c r="A25" s="141"/>
      <c r="B25" s="163"/>
      <c r="C25" s="164"/>
      <c r="D25" s="165"/>
      <c r="E25" s="164"/>
      <c r="F25" s="166"/>
      <c r="G25" s="166"/>
      <c r="H25" s="143"/>
      <c r="I25" s="11"/>
      <c r="J25" s="37"/>
      <c r="K25" s="11"/>
      <c r="L25" s="11"/>
      <c r="M25" s="11"/>
    </row>
    <row r="26" spans="1:13" ht="37.5" customHeight="1">
      <c r="A26" s="513" t="s">
        <v>300</v>
      </c>
      <c r="B26" s="167"/>
      <c r="C26" s="140" t="s">
        <v>390</v>
      </c>
      <c r="D26" s="141" t="s">
        <v>391</v>
      </c>
      <c r="E26" s="141" t="s">
        <v>1035</v>
      </c>
      <c r="F26" s="142">
        <v>217937</v>
      </c>
      <c r="G26" s="142">
        <v>223794</v>
      </c>
      <c r="H26" s="143">
        <f>(G26-F26)*100/F26</f>
        <v>2.6874739030086676</v>
      </c>
      <c r="I26" s="11"/>
      <c r="J26" s="106"/>
      <c r="K26" s="11"/>
      <c r="L26" s="23"/>
      <c r="M26" s="11"/>
    </row>
    <row r="27" spans="1:13" ht="9.75" customHeight="1">
      <c r="A27" s="141"/>
      <c r="B27" s="163"/>
      <c r="C27" s="164"/>
      <c r="D27" s="165"/>
      <c r="E27" s="164"/>
      <c r="F27" s="166"/>
      <c r="G27" s="166"/>
      <c r="H27" s="143"/>
      <c r="I27" s="11"/>
      <c r="J27" s="11"/>
      <c r="K27" s="11"/>
      <c r="L27" s="11"/>
      <c r="M27" s="11"/>
    </row>
    <row r="28" spans="1:13" ht="18">
      <c r="A28" s="1033" t="s">
        <v>392</v>
      </c>
      <c r="B28" s="167"/>
      <c r="C28" s="140" t="s">
        <v>988</v>
      </c>
      <c r="D28" s="141" t="s">
        <v>393</v>
      </c>
      <c r="E28" s="141"/>
      <c r="F28" s="142"/>
      <c r="G28" s="142"/>
      <c r="H28" s="143"/>
      <c r="I28" s="11"/>
      <c r="J28" s="11"/>
      <c r="K28" s="11"/>
      <c r="L28" s="11"/>
      <c r="M28" s="11"/>
    </row>
    <row r="29" spans="1:13" ht="37.5" customHeight="1">
      <c r="A29" s="1035"/>
      <c r="B29" s="141" t="s">
        <v>15</v>
      </c>
      <c r="C29" s="140" t="s">
        <v>298</v>
      </c>
      <c r="D29" s="141" t="s">
        <v>989</v>
      </c>
      <c r="E29" s="141" t="s">
        <v>394</v>
      </c>
      <c r="F29" s="142">
        <v>28510</v>
      </c>
      <c r="G29" s="142">
        <v>28207</v>
      </c>
      <c r="H29" s="143">
        <f>(G29-F29)*100/F29</f>
        <v>-1.0627849877236057</v>
      </c>
      <c r="I29" s="11"/>
      <c r="J29" s="11"/>
      <c r="K29" s="11"/>
      <c r="L29" s="11"/>
      <c r="M29" s="11"/>
    </row>
    <row r="30" spans="1:13" ht="9.75" customHeight="1">
      <c r="A30" s="513"/>
      <c r="B30" s="168"/>
      <c r="C30" s="169"/>
      <c r="D30" s="170"/>
      <c r="E30" s="170"/>
      <c r="F30" s="171"/>
      <c r="G30" s="171"/>
      <c r="H30" s="143"/>
      <c r="I30" s="11"/>
      <c r="J30" s="11"/>
      <c r="K30" s="11"/>
      <c r="L30" s="11"/>
      <c r="M30" s="11"/>
    </row>
    <row r="31" spans="1:13" ht="54" customHeight="1">
      <c r="A31" s="1033" t="s">
        <v>395</v>
      </c>
      <c r="B31" s="168"/>
      <c r="C31" s="169" t="s">
        <v>442</v>
      </c>
      <c r="D31" s="170" t="s">
        <v>234</v>
      </c>
      <c r="E31" s="170"/>
      <c r="F31" s="171"/>
      <c r="G31" s="171"/>
      <c r="H31" s="143"/>
      <c r="I31" s="11"/>
      <c r="J31" s="11"/>
      <c r="K31" s="11"/>
      <c r="L31" s="11"/>
      <c r="M31" s="11"/>
    </row>
    <row r="32" spans="1:13" ht="36.75" customHeight="1">
      <c r="A32" s="1035"/>
      <c r="B32" s="141" t="s">
        <v>15</v>
      </c>
      <c r="C32" s="140" t="s">
        <v>298</v>
      </c>
      <c r="D32" s="170" t="s">
        <v>990</v>
      </c>
      <c r="E32" s="170" t="s">
        <v>1035</v>
      </c>
      <c r="F32" s="142">
        <v>1418591</v>
      </c>
      <c r="G32" s="142">
        <v>1401138</v>
      </c>
      <c r="H32" s="143">
        <f>(G32-F32)*100/F32</f>
        <v>-1.2303052817901707</v>
      </c>
      <c r="I32" s="11"/>
      <c r="J32" s="11"/>
      <c r="K32" s="11"/>
      <c r="L32" s="11"/>
      <c r="M32" s="11"/>
    </row>
    <row r="33" spans="1:13" ht="9.75" customHeight="1">
      <c r="A33" s="141"/>
      <c r="B33" s="173"/>
      <c r="C33" s="174"/>
      <c r="D33" s="175"/>
      <c r="E33" s="174"/>
      <c r="F33" s="176"/>
      <c r="G33" s="176"/>
      <c r="H33" s="143"/>
      <c r="I33" s="11"/>
      <c r="J33" s="11"/>
      <c r="K33" s="11"/>
      <c r="L33" s="11"/>
      <c r="M33" s="11"/>
    </row>
    <row r="34" spans="1:13" ht="34.5" customHeight="1">
      <c r="A34" s="1033" t="s">
        <v>235</v>
      </c>
      <c r="B34" s="167"/>
      <c r="C34" s="140" t="s">
        <v>443</v>
      </c>
      <c r="D34" s="141" t="s">
        <v>236</v>
      </c>
      <c r="F34" s="142"/>
      <c r="G34" s="142"/>
      <c r="H34" s="143"/>
      <c r="I34" s="11"/>
      <c r="J34" s="11"/>
      <c r="K34" s="11"/>
      <c r="L34" s="11"/>
      <c r="M34" s="11"/>
    </row>
    <row r="35" spans="1:13" ht="36.75" customHeight="1">
      <c r="A35" s="1035"/>
      <c r="B35" s="141" t="s">
        <v>15</v>
      </c>
      <c r="C35" s="140" t="s">
        <v>298</v>
      </c>
      <c r="D35" s="141" t="s">
        <v>82</v>
      </c>
      <c r="E35" s="141" t="s">
        <v>926</v>
      </c>
      <c r="F35" s="142">
        <v>102479</v>
      </c>
      <c r="G35" s="142">
        <v>101776</v>
      </c>
      <c r="H35" s="143">
        <f>(G35-F35)*100/F35</f>
        <v>-0.6859942036905122</v>
      </c>
      <c r="I35" s="11"/>
      <c r="J35" s="11"/>
      <c r="K35" s="11"/>
      <c r="L35" s="11"/>
      <c r="M35" s="11"/>
    </row>
    <row r="36" spans="1:13" ht="9.75" customHeight="1">
      <c r="A36" s="512"/>
      <c r="B36" s="177"/>
      <c r="C36" s="112"/>
      <c r="D36" s="178"/>
      <c r="E36" s="178"/>
      <c r="F36" s="179"/>
      <c r="G36" s="179"/>
      <c r="H36" s="180"/>
      <c r="I36" s="11"/>
      <c r="J36" s="11"/>
      <c r="K36" s="11"/>
      <c r="L36" s="11"/>
      <c r="M36" s="11"/>
    </row>
    <row r="37" spans="1:13" ht="90.75" customHeight="1">
      <c r="A37" s="1033" t="s">
        <v>237</v>
      </c>
      <c r="B37" s="173"/>
      <c r="C37" s="140" t="s">
        <v>165</v>
      </c>
      <c r="D37" s="141" t="s">
        <v>238</v>
      </c>
      <c r="E37" s="141" t="s">
        <v>239</v>
      </c>
      <c r="F37" s="181"/>
      <c r="G37" s="181"/>
      <c r="H37" s="143"/>
      <c r="I37" s="11"/>
      <c r="J37" s="11"/>
      <c r="K37" s="11"/>
      <c r="L37" s="11"/>
      <c r="M37" s="11"/>
    </row>
    <row r="38" spans="1:13" ht="18">
      <c r="A38" s="1034"/>
      <c r="B38" s="182" t="s">
        <v>1004</v>
      </c>
      <c r="C38" s="140" t="s">
        <v>1328</v>
      </c>
      <c r="D38" s="141"/>
      <c r="E38" s="141"/>
      <c r="F38" s="232"/>
      <c r="G38" s="232"/>
      <c r="H38" s="143"/>
      <c r="I38" s="497"/>
      <c r="J38" s="11"/>
      <c r="K38" s="11"/>
      <c r="L38" s="11"/>
      <c r="M38" s="11"/>
    </row>
    <row r="39" spans="1:13" ht="18">
      <c r="A39" s="1034"/>
      <c r="B39" s="182" t="s">
        <v>15</v>
      </c>
      <c r="C39" s="140" t="s">
        <v>240</v>
      </c>
      <c r="D39" s="141" t="s">
        <v>241</v>
      </c>
      <c r="E39" s="141" t="s">
        <v>239</v>
      </c>
      <c r="F39" s="142">
        <v>1036752</v>
      </c>
      <c r="G39" s="142">
        <v>1078165</v>
      </c>
      <c r="H39" s="143">
        <f>(G39-F39)*100/F39</f>
        <v>3.994494343873945</v>
      </c>
      <c r="I39" s="497"/>
      <c r="J39" s="11"/>
      <c r="K39" s="11"/>
      <c r="L39" s="11"/>
      <c r="M39" s="11"/>
    </row>
    <row r="40" spans="1:13" ht="18">
      <c r="A40" s="1034"/>
      <c r="B40" s="144" t="s">
        <v>909</v>
      </c>
      <c r="C40" s="140" t="s">
        <v>1214</v>
      </c>
      <c r="D40" s="141" t="s">
        <v>1215</v>
      </c>
      <c r="E40" s="141" t="s">
        <v>239</v>
      </c>
      <c r="F40" s="142">
        <v>1158328</v>
      </c>
      <c r="G40" s="142">
        <v>1200627</v>
      </c>
      <c r="H40" s="143">
        <f>(G40-F40)*100/F40</f>
        <v>3.6517290439322885</v>
      </c>
      <c r="I40" s="497"/>
      <c r="J40" s="11"/>
      <c r="K40" s="11"/>
      <c r="L40" s="11"/>
      <c r="M40" s="11"/>
    </row>
    <row r="41" spans="1:13" ht="18">
      <c r="A41" s="1034"/>
      <c r="B41" s="182" t="s">
        <v>1005</v>
      </c>
      <c r="C41" s="140" t="s">
        <v>164</v>
      </c>
      <c r="D41" s="141"/>
      <c r="E41" s="141"/>
      <c r="F41" s="181"/>
      <c r="G41" s="181"/>
      <c r="H41" s="143"/>
      <c r="I41" s="11"/>
      <c r="J41" s="11"/>
      <c r="K41" s="11"/>
      <c r="L41" s="11"/>
      <c r="M41" s="11"/>
    </row>
    <row r="42" spans="1:13" ht="18.75" customHeight="1">
      <c r="A42" s="1034"/>
      <c r="B42" s="182" t="s">
        <v>15</v>
      </c>
      <c r="C42" s="140" t="s">
        <v>240</v>
      </c>
      <c r="D42" s="141" t="s">
        <v>167</v>
      </c>
      <c r="E42" s="141" t="s">
        <v>239</v>
      </c>
      <c r="F42" s="142">
        <v>2526667</v>
      </c>
      <c r="G42" s="142">
        <v>2655984</v>
      </c>
      <c r="H42" s="143">
        <f>(G42-F42)*100/F42</f>
        <v>5.118086396030819</v>
      </c>
      <c r="I42" s="11"/>
      <c r="J42" s="97"/>
      <c r="K42" s="11"/>
      <c r="L42" s="96"/>
      <c r="M42" s="97"/>
    </row>
    <row r="43" spans="1:13" ht="20.25" customHeight="1">
      <c r="A43" s="1034"/>
      <c r="B43" s="144" t="s">
        <v>909</v>
      </c>
      <c r="C43" s="140" t="s">
        <v>1214</v>
      </c>
      <c r="D43" s="141" t="s">
        <v>166</v>
      </c>
      <c r="E43" s="141" t="s">
        <v>239</v>
      </c>
      <c r="F43" s="142">
        <v>2648242</v>
      </c>
      <c r="G43" s="142">
        <v>2778446</v>
      </c>
      <c r="H43" s="143">
        <f>(G43-F43)*100/F43</f>
        <v>4.916620157825456</v>
      </c>
      <c r="I43" s="11"/>
      <c r="J43" s="97"/>
      <c r="K43" s="11"/>
      <c r="L43" s="98"/>
      <c r="M43" s="97"/>
    </row>
    <row r="44" spans="1:13" ht="10.5" customHeight="1">
      <c r="A44" s="141"/>
      <c r="B44" s="183"/>
      <c r="C44" s="184"/>
      <c r="D44" s="185"/>
      <c r="E44" s="186"/>
      <c r="F44" s="187"/>
      <c r="G44" s="187"/>
      <c r="H44" s="143"/>
      <c r="I44" s="11"/>
      <c r="J44" s="11"/>
      <c r="K44" s="91"/>
      <c r="L44" s="111"/>
      <c r="M44" s="11"/>
    </row>
    <row r="45" spans="1:13" ht="57.75" customHeight="1">
      <c r="A45" s="513" t="s">
        <v>1216</v>
      </c>
      <c r="B45" s="167"/>
      <c r="C45" s="140" t="s">
        <v>850</v>
      </c>
      <c r="D45" s="141" t="s">
        <v>851</v>
      </c>
      <c r="E45" s="141" t="s">
        <v>852</v>
      </c>
      <c r="F45" s="142">
        <v>621183</v>
      </c>
      <c r="G45" s="142">
        <v>622997</v>
      </c>
      <c r="H45" s="143">
        <f>(G45-F45)*100/F45</f>
        <v>0.29202344558688825</v>
      </c>
      <c r="I45" s="11"/>
      <c r="J45" s="11"/>
      <c r="K45" s="91"/>
      <c r="L45" s="96"/>
      <c r="M45" s="11"/>
    </row>
    <row r="46" spans="1:13" ht="21.75" customHeight="1">
      <c r="A46" s="1036" t="s">
        <v>853</v>
      </c>
      <c r="B46" s="167"/>
      <c r="C46" s="140" t="s">
        <v>873</v>
      </c>
      <c r="D46" s="141"/>
      <c r="E46" s="184"/>
      <c r="F46" s="187"/>
      <c r="G46" s="187"/>
      <c r="H46" s="143"/>
      <c r="I46" s="11"/>
      <c r="J46" s="11"/>
      <c r="K46" s="91"/>
      <c r="L46" s="11"/>
      <c r="M46" s="11"/>
    </row>
    <row r="47" spans="1:13" ht="36">
      <c r="A47" s="1036"/>
      <c r="B47" s="141"/>
      <c r="C47" s="140" t="s">
        <v>991</v>
      </c>
      <c r="D47" s="141" t="s">
        <v>874</v>
      </c>
      <c r="E47" s="141"/>
      <c r="F47" s="142"/>
      <c r="G47" s="142"/>
      <c r="H47" s="143"/>
      <c r="I47" s="11"/>
      <c r="J47" s="11"/>
      <c r="K47" s="11"/>
      <c r="L47" s="11"/>
      <c r="M47" s="11"/>
    </row>
    <row r="48" spans="1:13" ht="18">
      <c r="A48" s="1036"/>
      <c r="B48" s="141" t="s">
        <v>15</v>
      </c>
      <c r="C48" s="140" t="s">
        <v>875</v>
      </c>
      <c r="D48" s="141" t="s">
        <v>876</v>
      </c>
      <c r="E48" s="141" t="s">
        <v>852</v>
      </c>
      <c r="F48" s="142">
        <v>181872</v>
      </c>
      <c r="G48" s="142">
        <v>186985</v>
      </c>
      <c r="H48" s="143">
        <f>(G48-F48)*100/F48</f>
        <v>2.8113178499164246</v>
      </c>
      <c r="I48" s="11"/>
      <c r="J48" s="11"/>
      <c r="K48" s="11"/>
      <c r="L48" s="11"/>
      <c r="M48" s="11"/>
    </row>
    <row r="49" spans="1:13" ht="18">
      <c r="A49" s="1036"/>
      <c r="B49" s="141" t="s">
        <v>909</v>
      </c>
      <c r="C49" s="140" t="s">
        <v>877</v>
      </c>
      <c r="D49" s="141" t="s">
        <v>878</v>
      </c>
      <c r="E49" s="141" t="s">
        <v>852</v>
      </c>
      <c r="F49" s="142">
        <v>204432</v>
      </c>
      <c r="G49" s="142">
        <v>209751</v>
      </c>
      <c r="H49" s="143">
        <f>(G49-F49)*100/F49</f>
        <v>2.601843155670345</v>
      </c>
      <c r="I49" s="11"/>
      <c r="J49" s="11"/>
      <c r="K49" s="11"/>
      <c r="L49" s="11"/>
      <c r="M49" s="11"/>
    </row>
    <row r="50" spans="1:13" ht="9.75" customHeight="1">
      <c r="A50" s="139"/>
      <c r="B50" s="150"/>
      <c r="C50" s="161"/>
      <c r="D50" s="188"/>
      <c r="E50" s="161"/>
      <c r="F50" s="151"/>
      <c r="G50" s="151"/>
      <c r="H50" s="143"/>
      <c r="I50" s="11"/>
      <c r="J50" s="11"/>
      <c r="K50" s="11"/>
      <c r="L50" s="11"/>
      <c r="M50" s="11"/>
    </row>
    <row r="51" spans="1:13" ht="36">
      <c r="A51" s="1036" t="s">
        <v>879</v>
      </c>
      <c r="B51" s="152"/>
      <c r="C51" s="140" t="s">
        <v>444</v>
      </c>
      <c r="D51" s="154"/>
      <c r="E51" s="153"/>
      <c r="F51" s="151"/>
      <c r="G51" s="151"/>
      <c r="H51" s="143"/>
      <c r="I51" s="11"/>
      <c r="J51" s="11"/>
      <c r="L51" s="11"/>
      <c r="M51" s="11"/>
    </row>
    <row r="52" spans="1:13" ht="18">
      <c r="A52" s="1036"/>
      <c r="B52" s="141" t="s">
        <v>15</v>
      </c>
      <c r="C52" s="140" t="s">
        <v>1045</v>
      </c>
      <c r="D52" s="141" t="s">
        <v>880</v>
      </c>
      <c r="E52" s="141" t="s">
        <v>926</v>
      </c>
      <c r="F52" s="142">
        <v>81715</v>
      </c>
      <c r="G52" s="142">
        <v>79259</v>
      </c>
      <c r="H52" s="143">
        <f>(G52-F52)*100/F52</f>
        <v>-3.0055681331456894</v>
      </c>
      <c r="I52" s="11"/>
      <c r="J52" s="11"/>
      <c r="K52" s="91"/>
      <c r="L52" s="11"/>
      <c r="M52" s="11"/>
    </row>
    <row r="53" spans="1:13" ht="21.75" customHeight="1">
      <c r="A53" s="1036"/>
      <c r="B53" s="141" t="s">
        <v>909</v>
      </c>
      <c r="C53" s="140" t="s">
        <v>1048</v>
      </c>
      <c r="D53" s="141" t="s">
        <v>881</v>
      </c>
      <c r="E53" s="141" t="s">
        <v>926</v>
      </c>
      <c r="F53" s="142">
        <v>106547</v>
      </c>
      <c r="G53" s="142">
        <v>106353</v>
      </c>
      <c r="H53" s="143">
        <f>(G53-F53)*100/F53</f>
        <v>-0.18207927018123457</v>
      </c>
      <c r="I53" s="11"/>
      <c r="J53" s="11"/>
      <c r="K53" s="91"/>
      <c r="L53" s="11"/>
      <c r="M53" s="11"/>
    </row>
    <row r="54" spans="1:13" ht="9.75" customHeight="1">
      <c r="A54" s="139"/>
      <c r="B54" s="189"/>
      <c r="C54" s="161"/>
      <c r="D54" s="189"/>
      <c r="E54" s="189"/>
      <c r="F54" s="151"/>
      <c r="G54" s="151"/>
      <c r="H54" s="143"/>
      <c r="I54" s="11"/>
      <c r="J54" s="11"/>
      <c r="K54" s="11"/>
      <c r="L54" s="11"/>
      <c r="M54" s="11"/>
    </row>
    <row r="55" spans="1:13" ht="36">
      <c r="A55" s="1036" t="s">
        <v>693</v>
      </c>
      <c r="B55" s="189"/>
      <c r="C55" s="161" t="s">
        <v>927</v>
      </c>
      <c r="D55" s="189"/>
      <c r="E55" s="189"/>
      <c r="F55" s="151"/>
      <c r="G55" s="151"/>
      <c r="H55" s="143"/>
      <c r="I55" s="11"/>
      <c r="J55" s="11"/>
      <c r="K55" s="11"/>
      <c r="L55" s="11"/>
      <c r="M55" s="11"/>
    </row>
    <row r="56" spans="1:13" ht="18">
      <c r="A56" s="1036"/>
      <c r="B56" s="141" t="s">
        <v>15</v>
      </c>
      <c r="C56" s="161" t="s">
        <v>928</v>
      </c>
      <c r="D56" s="141" t="s">
        <v>930</v>
      </c>
      <c r="E56" s="141" t="s">
        <v>852</v>
      </c>
      <c r="F56" s="142">
        <v>124984</v>
      </c>
      <c r="G56" s="142">
        <v>129377</v>
      </c>
      <c r="H56" s="143">
        <f>(G56-F56)*100/F56</f>
        <v>3.5148499007873006</v>
      </c>
      <c r="I56" s="11"/>
      <c r="J56" s="11"/>
      <c r="K56" s="11"/>
      <c r="L56" s="11"/>
      <c r="M56" s="11"/>
    </row>
    <row r="57" spans="1:13" ht="18">
      <c r="A57" s="1036"/>
      <c r="B57" s="141" t="s">
        <v>909</v>
      </c>
      <c r="C57" s="161" t="s">
        <v>929</v>
      </c>
      <c r="D57" s="141" t="s">
        <v>931</v>
      </c>
      <c r="E57" s="141" t="s">
        <v>852</v>
      </c>
      <c r="F57" s="142">
        <v>129998</v>
      </c>
      <c r="G57" s="142">
        <v>134391</v>
      </c>
      <c r="H57" s="143">
        <f>(G57-F57)*100/F57</f>
        <v>3.37928275819628</v>
      </c>
      <c r="I57" s="11"/>
      <c r="J57" s="11"/>
      <c r="K57" s="11"/>
      <c r="L57" s="11"/>
      <c r="M57" s="11"/>
    </row>
    <row r="58" spans="1:13" ht="9.75" customHeight="1">
      <c r="A58" s="139"/>
      <c r="B58" s="189"/>
      <c r="C58" s="161"/>
      <c r="D58" s="189"/>
      <c r="E58" s="189"/>
      <c r="F58" s="151"/>
      <c r="G58" s="151"/>
      <c r="H58" s="143"/>
      <c r="I58" s="11"/>
      <c r="J58" s="11"/>
      <c r="K58" s="11"/>
      <c r="L58" s="11"/>
      <c r="M58" s="11"/>
    </row>
    <row r="59" spans="1:13" ht="108">
      <c r="A59" s="1036" t="s">
        <v>695</v>
      </c>
      <c r="B59" s="189"/>
      <c r="C59" s="161" t="s">
        <v>898</v>
      </c>
      <c r="D59" s="141" t="s">
        <v>899</v>
      </c>
      <c r="E59" s="189"/>
      <c r="F59" s="151"/>
      <c r="G59" s="151"/>
      <c r="H59" s="143"/>
      <c r="I59" s="557"/>
      <c r="J59" s="557"/>
      <c r="K59" s="11"/>
      <c r="L59" s="11"/>
      <c r="M59" s="11"/>
    </row>
    <row r="60" spans="1:13" ht="18" customHeight="1">
      <c r="A60" s="1036"/>
      <c r="B60" s="182" t="s">
        <v>15</v>
      </c>
      <c r="C60" s="140" t="s">
        <v>240</v>
      </c>
      <c r="D60" s="141" t="s">
        <v>900</v>
      </c>
      <c r="E60" s="141" t="s">
        <v>239</v>
      </c>
      <c r="F60" s="142">
        <v>906066.3081504272</v>
      </c>
      <c r="G60" s="142">
        <v>939768</v>
      </c>
      <c r="H60" s="143">
        <f>(G60-F60)*100/F60</f>
        <v>3.719561310956238</v>
      </c>
      <c r="I60" s="497"/>
      <c r="J60" s="135"/>
      <c r="K60" s="135"/>
      <c r="M60" s="11"/>
    </row>
    <row r="61" spans="1:13" ht="18" customHeight="1">
      <c r="A61" s="1036"/>
      <c r="B61" s="144" t="s">
        <v>909</v>
      </c>
      <c r="C61" s="140" t="s">
        <v>1214</v>
      </c>
      <c r="D61" s="141" t="s">
        <v>901</v>
      </c>
      <c r="E61" s="141" t="s">
        <v>239</v>
      </c>
      <c r="F61" s="142">
        <v>1027642.032550427</v>
      </c>
      <c r="G61" s="142">
        <v>1062230</v>
      </c>
      <c r="H61" s="143">
        <f>(G61-F61)*100/F61</f>
        <v>3.3657602894785965</v>
      </c>
      <c r="I61" s="497"/>
      <c r="J61" s="135"/>
      <c r="K61" s="135"/>
      <c r="L61" s="11"/>
      <c r="M61" s="11"/>
    </row>
    <row r="62" spans="1:13" ht="9.75" customHeight="1">
      <c r="A62" s="139"/>
      <c r="B62" s="189"/>
      <c r="C62" s="161"/>
      <c r="D62" s="189"/>
      <c r="E62" s="189"/>
      <c r="F62" s="151"/>
      <c r="G62" s="151"/>
      <c r="H62" s="143"/>
      <c r="I62" s="11"/>
      <c r="J62" s="11"/>
      <c r="K62" s="11"/>
      <c r="L62" s="11"/>
      <c r="M62" s="11"/>
    </row>
    <row r="63" spans="1:13" ht="18">
      <c r="A63" s="1042" t="s">
        <v>0</v>
      </c>
      <c r="B63" s="1043"/>
      <c r="C63" s="1043"/>
      <c r="D63" s="137"/>
      <c r="E63" s="190"/>
      <c r="F63" s="187"/>
      <c r="G63" s="187"/>
      <c r="H63" s="143"/>
      <c r="I63" s="11"/>
      <c r="J63" s="11"/>
      <c r="K63" s="11"/>
      <c r="L63" s="11"/>
      <c r="M63" s="11"/>
    </row>
    <row r="64" spans="1:13" ht="9.75" customHeight="1">
      <c r="A64" s="141"/>
      <c r="B64" s="140"/>
      <c r="C64" s="140"/>
      <c r="D64" s="160"/>
      <c r="E64" s="161"/>
      <c r="F64" s="151"/>
      <c r="G64" s="151"/>
      <c r="H64" s="143"/>
      <c r="I64" s="11"/>
      <c r="J64" s="11"/>
      <c r="K64" s="11"/>
      <c r="L64" s="11"/>
      <c r="M64" s="11"/>
    </row>
    <row r="65" spans="1:13" ht="18">
      <c r="A65" s="1037" t="s">
        <v>388</v>
      </c>
      <c r="B65" s="167"/>
      <c r="C65" s="140" t="s">
        <v>1</v>
      </c>
      <c r="D65" s="160"/>
      <c r="E65" s="161"/>
      <c r="F65" s="151"/>
      <c r="G65" s="151"/>
      <c r="H65" s="143"/>
      <c r="I65" s="11"/>
      <c r="J65" s="11"/>
      <c r="K65" s="11"/>
      <c r="L65" s="11"/>
      <c r="M65" s="11"/>
    </row>
    <row r="66" spans="1:13" ht="11.25" customHeight="1">
      <c r="A66" s="1038"/>
      <c r="B66" s="191"/>
      <c r="C66" s="192"/>
      <c r="D66" s="193"/>
      <c r="E66" s="192"/>
      <c r="F66" s="194"/>
      <c r="G66" s="194"/>
      <c r="H66" s="143"/>
      <c r="I66" s="11"/>
      <c r="J66" s="11"/>
      <c r="K66" s="11"/>
      <c r="L66" s="11"/>
      <c r="M66" s="11"/>
    </row>
    <row r="67" spans="1:13" ht="36">
      <c r="A67" s="1038"/>
      <c r="B67" s="141" t="s">
        <v>15</v>
      </c>
      <c r="C67" s="140" t="s">
        <v>2</v>
      </c>
      <c r="D67" s="141" t="s">
        <v>3</v>
      </c>
      <c r="E67" s="141" t="s">
        <v>926</v>
      </c>
      <c r="F67" s="142">
        <v>6866103</v>
      </c>
      <c r="G67" s="142">
        <v>6913029</v>
      </c>
      <c r="H67" s="143">
        <f>(G67-F67)*100/F67</f>
        <v>0.6834444516780479</v>
      </c>
      <c r="I67" s="11"/>
      <c r="J67" s="11"/>
      <c r="K67" s="11"/>
      <c r="L67" s="11"/>
      <c r="M67" s="11"/>
    </row>
    <row r="68" spans="1:13" ht="11.25" customHeight="1">
      <c r="A68" s="1038"/>
      <c r="B68" s="139"/>
      <c r="C68" s="112"/>
      <c r="D68" s="70"/>
      <c r="E68" s="112"/>
      <c r="F68" s="158"/>
      <c r="G68" s="158"/>
      <c r="H68" s="143"/>
      <c r="I68" s="11"/>
      <c r="J68" s="11"/>
      <c r="K68" s="11"/>
      <c r="L68" s="11"/>
      <c r="M68" s="11"/>
    </row>
    <row r="69" spans="1:13" ht="37.5" customHeight="1">
      <c r="A69" s="1038"/>
      <c r="B69" s="141" t="s">
        <v>909</v>
      </c>
      <c r="C69" s="140" t="s">
        <v>866</v>
      </c>
      <c r="D69" s="141" t="s">
        <v>867</v>
      </c>
      <c r="E69" s="141" t="s">
        <v>926</v>
      </c>
      <c r="F69" s="142">
        <v>8595749</v>
      </c>
      <c r="G69" s="142">
        <v>8571098</v>
      </c>
      <c r="H69" s="143">
        <f>(G69-F69)*100/F69</f>
        <v>-0.2867812915430639</v>
      </c>
      <c r="I69" s="11"/>
      <c r="J69" s="11"/>
      <c r="K69" s="11"/>
      <c r="L69" s="96"/>
      <c r="M69" s="11"/>
    </row>
    <row r="70" spans="1:13" ht="11.25" customHeight="1">
      <c r="A70" s="1038"/>
      <c r="B70" s="139"/>
      <c r="C70" s="112"/>
      <c r="D70" s="70"/>
      <c r="E70" s="112"/>
      <c r="F70" s="158"/>
      <c r="G70" s="158"/>
      <c r="H70" s="143"/>
      <c r="I70" s="11"/>
      <c r="J70" s="11"/>
      <c r="K70" s="11"/>
      <c r="L70" s="11"/>
      <c r="M70" s="11"/>
    </row>
    <row r="71" spans="1:13" ht="39" customHeight="1">
      <c r="A71" s="1039"/>
      <c r="B71" s="141" t="s">
        <v>158</v>
      </c>
      <c r="C71" s="140" t="s">
        <v>868</v>
      </c>
      <c r="D71" s="141" t="s">
        <v>869</v>
      </c>
      <c r="E71" s="141" t="s">
        <v>926</v>
      </c>
      <c r="F71" s="142">
        <v>10290155</v>
      </c>
      <c r="G71" s="142">
        <v>10257514</v>
      </c>
      <c r="H71" s="143">
        <f>(G71-F71)*100/F71</f>
        <v>-0.31720610622483336</v>
      </c>
      <c r="I71" s="11"/>
      <c r="J71" s="11"/>
      <c r="K71" s="11"/>
      <c r="L71" s="96"/>
      <c r="M71" s="11"/>
    </row>
    <row r="72" spans="1:13" ht="9.75" customHeight="1">
      <c r="A72" s="195"/>
      <c r="B72" s="196"/>
      <c r="C72" s="197"/>
      <c r="D72" s="198"/>
      <c r="E72" s="197"/>
      <c r="F72" s="199"/>
      <c r="G72" s="199"/>
      <c r="H72" s="143"/>
      <c r="I72" s="100"/>
      <c r="J72" s="100"/>
      <c r="K72" s="100"/>
      <c r="L72" s="100"/>
      <c r="M72" s="100"/>
    </row>
    <row r="73" spans="1:13" ht="18">
      <c r="A73" s="1037" t="s">
        <v>1039</v>
      </c>
      <c r="B73" s="140"/>
      <c r="C73" s="140" t="s">
        <v>888</v>
      </c>
      <c r="D73" s="160"/>
      <c r="E73" s="161"/>
      <c r="F73" s="151"/>
      <c r="G73" s="151"/>
      <c r="H73" s="143"/>
      <c r="I73" s="11"/>
      <c r="J73" s="90"/>
      <c r="K73" s="11"/>
      <c r="L73" s="11"/>
      <c r="M73" s="11"/>
    </row>
    <row r="74" spans="1:13" ht="18">
      <c r="A74" s="1038"/>
      <c r="B74" s="141" t="s">
        <v>15</v>
      </c>
      <c r="C74" s="140" t="s">
        <v>474</v>
      </c>
      <c r="D74" s="141" t="s">
        <v>515</v>
      </c>
      <c r="E74" s="141" t="s">
        <v>926</v>
      </c>
      <c r="F74" s="142">
        <v>933187</v>
      </c>
      <c r="G74" s="142">
        <v>892025</v>
      </c>
      <c r="H74" s="143">
        <f>(G74-F74)*100/F74</f>
        <v>-4.410905852739054</v>
      </c>
      <c r="I74" s="11"/>
      <c r="J74" s="11"/>
      <c r="K74" s="11"/>
      <c r="L74" s="11"/>
      <c r="M74" s="11"/>
    </row>
    <row r="75" spans="1:13" ht="20.25" customHeight="1">
      <c r="A75" s="1038"/>
      <c r="B75" s="141" t="s">
        <v>909</v>
      </c>
      <c r="C75" s="140" t="s">
        <v>475</v>
      </c>
      <c r="D75" s="141" t="s">
        <v>516</v>
      </c>
      <c r="E75" s="141" t="s">
        <v>926</v>
      </c>
      <c r="F75" s="142">
        <v>2283793</v>
      </c>
      <c r="G75" s="142">
        <v>2177129</v>
      </c>
      <c r="H75" s="143">
        <f>(G75-F75)*100/F75</f>
        <v>-4.670475826837196</v>
      </c>
      <c r="I75" s="11"/>
      <c r="J75" s="11"/>
      <c r="K75" s="11"/>
      <c r="L75" s="96"/>
      <c r="M75" s="11"/>
    </row>
    <row r="76" spans="1:13" ht="19.5" customHeight="1">
      <c r="A76" s="1039"/>
      <c r="B76" s="141" t="s">
        <v>158</v>
      </c>
      <c r="C76" s="140" t="s">
        <v>476</v>
      </c>
      <c r="D76" s="141" t="s">
        <v>517</v>
      </c>
      <c r="E76" s="141" t="s">
        <v>926</v>
      </c>
      <c r="F76" s="142">
        <v>3239383</v>
      </c>
      <c r="G76" s="142">
        <v>3100279</v>
      </c>
      <c r="H76" s="143">
        <f>(G76-F76)*100/F76</f>
        <v>-4.294151077535444</v>
      </c>
      <c r="I76" s="11"/>
      <c r="J76" s="11"/>
      <c r="K76" s="11"/>
      <c r="L76" s="96"/>
      <c r="M76" s="11"/>
    </row>
    <row r="77" spans="1:13" ht="9.75" customHeight="1">
      <c r="A77" s="200"/>
      <c r="B77" s="196"/>
      <c r="C77" s="197"/>
      <c r="D77" s="198"/>
      <c r="E77" s="197"/>
      <c r="F77" s="199"/>
      <c r="G77" s="199"/>
      <c r="H77" s="143"/>
      <c r="I77" s="100"/>
      <c r="J77" s="100"/>
      <c r="K77" s="100"/>
      <c r="L77" s="100"/>
      <c r="M77" s="100"/>
    </row>
    <row r="78" spans="1:13" ht="54">
      <c r="A78" s="1033" t="s">
        <v>1044</v>
      </c>
      <c r="B78" s="140"/>
      <c r="C78" s="140" t="s">
        <v>518</v>
      </c>
      <c r="D78" s="160"/>
      <c r="E78" s="161"/>
      <c r="F78" s="151"/>
      <c r="G78" s="151"/>
      <c r="H78" s="143"/>
      <c r="I78" s="11"/>
      <c r="J78" s="11"/>
      <c r="K78" s="11"/>
      <c r="L78" s="11"/>
      <c r="M78" s="11"/>
    </row>
    <row r="79" spans="1:13" ht="18" customHeight="1">
      <c r="A79" s="1038"/>
      <c r="B79" s="182" t="s">
        <v>15</v>
      </c>
      <c r="C79" s="201" t="s">
        <v>474</v>
      </c>
      <c r="D79" s="182" t="s">
        <v>519</v>
      </c>
      <c r="E79" s="182" t="s">
        <v>926</v>
      </c>
      <c r="F79" s="202">
        <v>2893992</v>
      </c>
      <c r="G79" s="202">
        <v>3379693</v>
      </c>
      <c r="H79" s="143">
        <f>(G79-F79)*100/F79</f>
        <v>16.78308025730548</v>
      </c>
      <c r="I79" s="1058"/>
      <c r="J79" s="1059"/>
      <c r="K79" s="1059"/>
      <c r="L79" s="99"/>
      <c r="M79" s="99"/>
    </row>
    <row r="80" spans="1:13" ht="19.5" customHeight="1">
      <c r="A80" s="1038"/>
      <c r="B80" s="141" t="s">
        <v>909</v>
      </c>
      <c r="C80" s="140" t="s">
        <v>475</v>
      </c>
      <c r="D80" s="141" t="s">
        <v>520</v>
      </c>
      <c r="E80" s="141" t="s">
        <v>926</v>
      </c>
      <c r="F80" s="142">
        <v>4572396</v>
      </c>
      <c r="G80" s="142">
        <v>4999595</v>
      </c>
      <c r="H80" s="143">
        <f>(G80-F80)*100/F80</f>
        <v>9.343000912431906</v>
      </c>
      <c r="I80" s="11"/>
      <c r="J80" s="107"/>
      <c r="K80" s="99"/>
      <c r="L80" s="96"/>
      <c r="M80" s="99"/>
    </row>
    <row r="81" spans="1:13" ht="18.75" customHeight="1">
      <c r="A81" s="1039"/>
      <c r="B81" s="141" t="s">
        <v>158</v>
      </c>
      <c r="C81" s="140" t="s">
        <v>476</v>
      </c>
      <c r="D81" s="141" t="s">
        <v>521</v>
      </c>
      <c r="E81" s="141" t="s">
        <v>926</v>
      </c>
      <c r="F81" s="142">
        <v>5527838</v>
      </c>
      <c r="G81" s="142">
        <v>5922555</v>
      </c>
      <c r="H81" s="143">
        <f>(G81-F81)*100/F81</f>
        <v>7.140531252905747</v>
      </c>
      <c r="I81" s="11"/>
      <c r="J81" s="107"/>
      <c r="K81" s="99"/>
      <c r="L81" s="96"/>
      <c r="M81" s="99"/>
    </row>
    <row r="82" spans="1:13" ht="9.75" customHeight="1">
      <c r="A82" s="195"/>
      <c r="B82" s="203"/>
      <c r="C82" s="204"/>
      <c r="D82" s="205"/>
      <c r="E82" s="204"/>
      <c r="F82" s="206"/>
      <c r="G82" s="206"/>
      <c r="H82" s="143"/>
      <c r="I82" s="100"/>
      <c r="J82" s="100"/>
      <c r="K82" s="100"/>
      <c r="L82" s="100"/>
      <c r="M82" s="100"/>
    </row>
    <row r="83" spans="1:13" ht="36">
      <c r="A83" s="207" t="s">
        <v>1050</v>
      </c>
      <c r="B83" s="169"/>
      <c r="C83" s="169" t="s">
        <v>782</v>
      </c>
      <c r="D83" s="170" t="s">
        <v>783</v>
      </c>
      <c r="E83" s="170" t="s">
        <v>926</v>
      </c>
      <c r="F83" s="171">
        <v>483256</v>
      </c>
      <c r="G83" s="171">
        <v>490515</v>
      </c>
      <c r="H83" s="143">
        <f>(G83-F83)*100/F83</f>
        <v>1.5021024053503733</v>
      </c>
      <c r="I83" s="11"/>
      <c r="J83" s="11"/>
      <c r="K83" s="11"/>
      <c r="L83" s="11"/>
      <c r="M83" s="11"/>
    </row>
    <row r="84" spans="1:13" ht="9.75" customHeight="1">
      <c r="A84" s="141"/>
      <c r="B84" s="150"/>
      <c r="C84" s="161"/>
      <c r="D84" s="188"/>
      <c r="E84" s="161"/>
      <c r="F84" s="151"/>
      <c r="G84" s="151"/>
      <c r="H84" s="143"/>
      <c r="I84" s="11"/>
      <c r="J84" s="11"/>
      <c r="K84" s="11"/>
      <c r="L84" s="11"/>
      <c r="M84" s="11"/>
    </row>
    <row r="85" spans="1:13" ht="36">
      <c r="A85" s="207" t="s">
        <v>300</v>
      </c>
      <c r="B85" s="208"/>
      <c r="C85" s="208" t="s">
        <v>784</v>
      </c>
      <c r="D85" s="209" t="s">
        <v>785</v>
      </c>
      <c r="E85" s="209" t="s">
        <v>926</v>
      </c>
      <c r="F85" s="210">
        <v>212243</v>
      </c>
      <c r="G85" s="210">
        <v>214257</v>
      </c>
      <c r="H85" s="143">
        <f>(G85-F85)*100/F85</f>
        <v>0.9489123316198885</v>
      </c>
      <c r="I85" s="11"/>
      <c r="J85" s="11"/>
      <c r="K85" s="11"/>
      <c r="L85" s="11"/>
      <c r="M85" s="11"/>
    </row>
    <row r="86" spans="1:13" ht="9.75" customHeight="1">
      <c r="A86" s="211"/>
      <c r="B86" s="150"/>
      <c r="C86" s="161"/>
      <c r="D86" s="188"/>
      <c r="E86" s="161"/>
      <c r="F86" s="151"/>
      <c r="G86" s="151"/>
      <c r="H86" s="143"/>
      <c r="I86" s="11"/>
      <c r="J86" s="11"/>
      <c r="K86" s="11"/>
      <c r="L86" s="11"/>
      <c r="M86" s="11"/>
    </row>
    <row r="87" spans="1:13" ht="18">
      <c r="A87" s="207" t="s">
        <v>392</v>
      </c>
      <c r="B87" s="208"/>
      <c r="C87" s="208" t="s">
        <v>698</v>
      </c>
      <c r="D87" s="209" t="s">
        <v>699</v>
      </c>
      <c r="E87" s="209" t="s">
        <v>926</v>
      </c>
      <c r="F87" s="210">
        <v>417910</v>
      </c>
      <c r="G87" s="210">
        <v>418353</v>
      </c>
      <c r="H87" s="143">
        <f>(G87-F87)*100/F87</f>
        <v>0.10600368500394822</v>
      </c>
      <c r="I87" s="11"/>
      <c r="J87" s="11"/>
      <c r="K87" s="11"/>
      <c r="L87" s="11"/>
      <c r="M87" s="11"/>
    </row>
    <row r="88" spans="1:13" ht="10.5" customHeight="1">
      <c r="A88" s="211"/>
      <c r="B88" s="150"/>
      <c r="C88" s="161"/>
      <c r="D88" s="188"/>
      <c r="E88" s="161"/>
      <c r="F88" s="151"/>
      <c r="G88" s="151"/>
      <c r="H88" s="143"/>
      <c r="I88" s="11"/>
      <c r="J88" s="11"/>
      <c r="K88" s="11"/>
      <c r="L88" s="11"/>
      <c r="M88" s="11"/>
    </row>
    <row r="89" spans="1:13" ht="9.75" customHeight="1">
      <c r="A89" s="211"/>
      <c r="B89" s="150"/>
      <c r="C89" s="161"/>
      <c r="D89" s="188"/>
      <c r="E89" s="161"/>
      <c r="F89" s="151"/>
      <c r="G89" s="151"/>
      <c r="H89" s="143"/>
      <c r="I89" s="11"/>
      <c r="J89" s="11"/>
      <c r="K89" s="11"/>
      <c r="L89" s="11"/>
      <c r="M89" s="11"/>
    </row>
    <row r="90" spans="1:13" ht="18">
      <c r="A90" s="1037" t="s">
        <v>395</v>
      </c>
      <c r="B90" s="140"/>
      <c r="C90" s="140" t="s">
        <v>700</v>
      </c>
      <c r="D90" s="160"/>
      <c r="E90" s="161"/>
      <c r="F90" s="151"/>
      <c r="G90" s="151"/>
      <c r="H90" s="143"/>
      <c r="I90" s="11"/>
      <c r="J90" s="11"/>
      <c r="K90" s="11"/>
      <c r="L90" s="11"/>
      <c r="M90" s="11"/>
    </row>
    <row r="91" spans="1:13" ht="18">
      <c r="A91" s="1038"/>
      <c r="B91" s="141" t="s">
        <v>15</v>
      </c>
      <c r="C91" s="140" t="s">
        <v>720</v>
      </c>
      <c r="D91" s="141" t="s">
        <v>701</v>
      </c>
      <c r="E91" s="141" t="s">
        <v>926</v>
      </c>
      <c r="F91" s="142">
        <v>2660176</v>
      </c>
      <c r="G91" s="142">
        <v>2562548</v>
      </c>
      <c r="H91" s="143">
        <f>(G91-F91)*100/F91</f>
        <v>-3.669982737984254</v>
      </c>
      <c r="I91" s="11"/>
      <c r="J91" s="11"/>
      <c r="K91" s="11"/>
      <c r="L91" s="96"/>
      <c r="M91" s="11"/>
    </row>
    <row r="92" spans="1:13" ht="18">
      <c r="A92" s="1038"/>
      <c r="B92" s="182" t="s">
        <v>909</v>
      </c>
      <c r="C92" s="201" t="s">
        <v>721</v>
      </c>
      <c r="D92" s="182" t="s">
        <v>702</v>
      </c>
      <c r="E92" s="182" t="s">
        <v>926</v>
      </c>
      <c r="F92" s="202">
        <v>3251545</v>
      </c>
      <c r="G92" s="202">
        <v>3113230</v>
      </c>
      <c r="H92" s="143">
        <f>(G92-F92)*100/F92</f>
        <v>-4.2538239513831115</v>
      </c>
      <c r="I92" s="11"/>
      <c r="J92" s="11"/>
      <c r="K92" s="11"/>
      <c r="L92" s="96"/>
      <c r="M92" s="11"/>
    </row>
    <row r="93" spans="1:13" ht="18">
      <c r="A93" s="1039"/>
      <c r="B93" s="141" t="s">
        <v>158</v>
      </c>
      <c r="C93" s="140" t="s">
        <v>367</v>
      </c>
      <c r="D93" s="141" t="s">
        <v>703</v>
      </c>
      <c r="E93" s="141" t="s">
        <v>926</v>
      </c>
      <c r="F93" s="142">
        <v>3642023</v>
      </c>
      <c r="G93" s="142">
        <v>3503832</v>
      </c>
      <c r="H93" s="143">
        <f>(G93-F93)*100/F93</f>
        <v>-3.7943472624966947</v>
      </c>
      <c r="I93" s="11"/>
      <c r="J93" s="11"/>
      <c r="K93" s="11"/>
      <c r="L93" s="96"/>
      <c r="M93" s="11"/>
    </row>
    <row r="94" spans="1:13" ht="9.75" customHeight="1">
      <c r="A94" s="195"/>
      <c r="B94" s="203"/>
      <c r="C94" s="204"/>
      <c r="D94" s="205"/>
      <c r="E94" s="204"/>
      <c r="F94" s="206"/>
      <c r="G94" s="206"/>
      <c r="H94" s="143"/>
      <c r="I94" s="100"/>
      <c r="J94" s="100"/>
      <c r="K94" s="100"/>
      <c r="L94" s="100"/>
      <c r="M94" s="100"/>
    </row>
    <row r="95" spans="1:13" ht="36">
      <c r="A95" s="513" t="s">
        <v>1755</v>
      </c>
      <c r="B95" s="169"/>
      <c r="C95" s="169" t="s">
        <v>704</v>
      </c>
      <c r="D95" s="170" t="s">
        <v>705</v>
      </c>
      <c r="E95" s="170" t="s">
        <v>926</v>
      </c>
      <c r="F95" s="171">
        <v>1265650</v>
      </c>
      <c r="G95" s="171">
        <v>1232202</v>
      </c>
      <c r="H95" s="143">
        <f>(G95-F95)*100/F95</f>
        <v>-2.6427527357484295</v>
      </c>
      <c r="I95" s="11"/>
      <c r="J95" s="11"/>
      <c r="K95" s="11"/>
      <c r="L95" s="11"/>
      <c r="M95" s="11"/>
    </row>
    <row r="96" spans="1:13" ht="9.75" customHeight="1">
      <c r="A96" s="141"/>
      <c r="B96" s="150"/>
      <c r="C96" s="161"/>
      <c r="D96" s="188"/>
      <c r="E96" s="161"/>
      <c r="F96" s="151"/>
      <c r="G96" s="151"/>
      <c r="H96" s="143"/>
      <c r="I96" s="11"/>
      <c r="J96" s="11"/>
      <c r="K96" s="11"/>
      <c r="L96" s="11"/>
      <c r="M96" s="11"/>
    </row>
    <row r="97" spans="1:13" ht="18">
      <c r="A97" s="1042" t="s">
        <v>706</v>
      </c>
      <c r="B97" s="1043"/>
      <c r="C97" s="1043"/>
      <c r="D97" s="137"/>
      <c r="E97" s="190"/>
      <c r="F97" s="187"/>
      <c r="G97" s="187"/>
      <c r="H97" s="143"/>
      <c r="I97" s="11"/>
      <c r="J97" s="11"/>
      <c r="K97" s="11"/>
      <c r="L97" s="11"/>
      <c r="M97" s="11"/>
    </row>
    <row r="98" spans="1:13" ht="9.75" customHeight="1">
      <c r="A98" s="141"/>
      <c r="B98" s="150"/>
      <c r="C98" s="161"/>
      <c r="D98" s="188"/>
      <c r="E98" s="161"/>
      <c r="F98" s="151"/>
      <c r="G98" s="151"/>
      <c r="H98" s="143"/>
      <c r="I98" s="11"/>
      <c r="J98" s="11"/>
      <c r="K98" s="11"/>
      <c r="L98" s="11"/>
      <c r="M98" s="11"/>
    </row>
    <row r="99" spans="1:13" ht="36">
      <c r="A99" s="1033" t="s">
        <v>388</v>
      </c>
      <c r="B99" s="145"/>
      <c r="C99" s="201" t="s">
        <v>707</v>
      </c>
      <c r="D99" s="147"/>
      <c r="E99" s="146"/>
      <c r="F99" s="148"/>
      <c r="G99" s="148"/>
      <c r="H99" s="143"/>
      <c r="I99" s="11"/>
      <c r="J99" s="11"/>
      <c r="K99" s="11"/>
      <c r="L99" s="11"/>
      <c r="M99" s="11"/>
    </row>
    <row r="100" spans="1:13" ht="18">
      <c r="A100" s="1034"/>
      <c r="B100" s="182" t="s">
        <v>15</v>
      </c>
      <c r="C100" s="201" t="s">
        <v>708</v>
      </c>
      <c r="D100" s="182" t="s">
        <v>709</v>
      </c>
      <c r="E100" s="182" t="s">
        <v>1035</v>
      </c>
      <c r="F100" s="202">
        <v>225086</v>
      </c>
      <c r="G100" s="202">
        <v>224725</v>
      </c>
      <c r="H100" s="143">
        <f>(G100-F100)*100/F100</f>
        <v>-0.16038314244333277</v>
      </c>
      <c r="I100" s="11"/>
      <c r="J100" s="11"/>
      <c r="K100" s="11"/>
      <c r="L100" s="11"/>
      <c r="M100" s="11"/>
    </row>
    <row r="101" spans="1:13" ht="18">
      <c r="A101" s="1035"/>
      <c r="B101" s="170" t="s">
        <v>909</v>
      </c>
      <c r="C101" s="169" t="s">
        <v>710</v>
      </c>
      <c r="D101" s="170" t="s">
        <v>711</v>
      </c>
      <c r="E101" s="170" t="s">
        <v>1035</v>
      </c>
      <c r="F101" s="171">
        <v>182425</v>
      </c>
      <c r="G101" s="171">
        <v>183048</v>
      </c>
      <c r="H101" s="143">
        <f>(G101-F101)*100/F101</f>
        <v>0.341510209675209</v>
      </c>
      <c r="I101" s="11"/>
      <c r="J101" s="11"/>
      <c r="K101" s="11"/>
      <c r="L101" s="11"/>
      <c r="M101" s="11"/>
    </row>
    <row r="102" spans="1:13" ht="9.75" customHeight="1">
      <c r="A102" s="141"/>
      <c r="B102" s="150"/>
      <c r="C102" s="161"/>
      <c r="D102" s="188"/>
      <c r="E102" s="161"/>
      <c r="F102" s="151"/>
      <c r="G102" s="151"/>
      <c r="H102" s="143"/>
      <c r="I102" s="11"/>
      <c r="J102" s="11"/>
      <c r="K102" s="11"/>
      <c r="L102" s="11"/>
      <c r="M102" s="11"/>
    </row>
    <row r="103" spans="1:13" ht="36">
      <c r="A103" s="513" t="s">
        <v>1039</v>
      </c>
      <c r="B103" s="208"/>
      <c r="C103" s="208" t="s">
        <v>712</v>
      </c>
      <c r="D103" s="209" t="s">
        <v>713</v>
      </c>
      <c r="E103" s="209" t="s">
        <v>926</v>
      </c>
      <c r="F103" s="210">
        <v>35616</v>
      </c>
      <c r="G103" s="210">
        <v>34966</v>
      </c>
      <c r="H103" s="143">
        <f>(G103-F103)*100/F103</f>
        <v>-1.8250224618149147</v>
      </c>
      <c r="I103" s="11"/>
      <c r="J103" s="11"/>
      <c r="K103" s="11"/>
      <c r="L103" s="11"/>
      <c r="M103" s="11"/>
    </row>
    <row r="104" spans="1:13" ht="9.75" customHeight="1">
      <c r="A104" s="200"/>
      <c r="B104" s="212"/>
      <c r="C104" s="213"/>
      <c r="D104" s="214"/>
      <c r="E104" s="213"/>
      <c r="F104" s="215"/>
      <c r="G104" s="215"/>
      <c r="H104" s="143"/>
      <c r="I104" s="100"/>
      <c r="J104" s="100"/>
      <c r="K104" s="100"/>
      <c r="L104" s="100"/>
      <c r="M104" s="100"/>
    </row>
    <row r="105" spans="1:13" ht="18">
      <c r="A105" s="1042" t="s">
        <v>714</v>
      </c>
      <c r="B105" s="1043"/>
      <c r="C105" s="1043"/>
      <c r="D105" s="137"/>
      <c r="E105" s="190"/>
      <c r="F105" s="187"/>
      <c r="G105" s="187"/>
      <c r="H105" s="143"/>
      <c r="I105" s="11"/>
      <c r="J105" s="11"/>
      <c r="K105" s="11"/>
      <c r="L105" s="11"/>
      <c r="M105" s="11"/>
    </row>
    <row r="106" spans="1:13" ht="9.75" customHeight="1">
      <c r="A106" s="216"/>
      <c r="B106" s="217"/>
      <c r="C106" s="190"/>
      <c r="D106" s="137"/>
      <c r="E106" s="190"/>
      <c r="F106" s="187"/>
      <c r="G106" s="187"/>
      <c r="H106" s="143"/>
      <c r="I106" s="11"/>
      <c r="J106" s="11"/>
      <c r="K106" s="11"/>
      <c r="L106" s="11"/>
      <c r="M106" s="11"/>
    </row>
    <row r="107" spans="1:13" ht="36">
      <c r="A107" s="1033" t="s">
        <v>388</v>
      </c>
      <c r="B107" s="218"/>
      <c r="C107" s="201" t="s">
        <v>854</v>
      </c>
      <c r="D107" s="219"/>
      <c r="E107" s="220"/>
      <c r="F107" s="221"/>
      <c r="G107" s="221"/>
      <c r="H107" s="143"/>
      <c r="I107" s="11"/>
      <c r="J107" s="11"/>
      <c r="K107" s="11"/>
      <c r="L107" s="11"/>
      <c r="M107" s="11"/>
    </row>
    <row r="108" spans="1:13" ht="18">
      <c r="A108" s="1034"/>
      <c r="B108" s="182" t="s">
        <v>15</v>
      </c>
      <c r="C108" s="201" t="s">
        <v>786</v>
      </c>
      <c r="D108" s="182" t="s">
        <v>855</v>
      </c>
      <c r="E108" s="182" t="s">
        <v>1035</v>
      </c>
      <c r="F108" s="202">
        <v>400368</v>
      </c>
      <c r="G108" s="202">
        <v>394185</v>
      </c>
      <c r="H108" s="143">
        <f>(G108-F108)*100/F108</f>
        <v>-1.5443292171202494</v>
      </c>
      <c r="I108" s="11"/>
      <c r="J108" s="11"/>
      <c r="K108" s="11"/>
      <c r="L108" s="11"/>
      <c r="M108" s="11"/>
    </row>
    <row r="109" spans="1:13" ht="18">
      <c r="A109" s="1035"/>
      <c r="B109" s="141" t="s">
        <v>909</v>
      </c>
      <c r="C109" s="140" t="s">
        <v>987</v>
      </c>
      <c r="D109" s="170" t="s">
        <v>856</v>
      </c>
      <c r="E109" s="170" t="s">
        <v>1035</v>
      </c>
      <c r="F109" s="171">
        <v>284712</v>
      </c>
      <c r="G109" s="171">
        <v>275498</v>
      </c>
      <c r="H109" s="143">
        <f>(G109-F109)*100/F109</f>
        <v>-3.236252774733766</v>
      </c>
      <c r="I109" s="11"/>
      <c r="J109" s="11"/>
      <c r="K109" s="11"/>
      <c r="L109" s="92"/>
      <c r="M109" s="11"/>
    </row>
    <row r="110" spans="1:13" ht="9.75" customHeight="1">
      <c r="A110" s="510"/>
      <c r="B110" s="141"/>
      <c r="C110" s="169"/>
      <c r="D110" s="170"/>
      <c r="E110" s="170"/>
      <c r="F110" s="171"/>
      <c r="G110" s="171"/>
      <c r="H110" s="143"/>
      <c r="I110" s="11"/>
      <c r="J110" s="11"/>
      <c r="K110" s="11"/>
      <c r="L110" s="11"/>
      <c r="M110" s="11"/>
    </row>
    <row r="111" spans="1:13" ht="36">
      <c r="A111" s="513" t="s">
        <v>1039</v>
      </c>
      <c r="B111" s="141" t="s">
        <v>909</v>
      </c>
      <c r="C111" s="140" t="s">
        <v>787</v>
      </c>
      <c r="D111" s="141" t="s">
        <v>788</v>
      </c>
      <c r="E111" s="141" t="s">
        <v>394</v>
      </c>
      <c r="F111" s="142">
        <v>22159</v>
      </c>
      <c r="G111" s="142">
        <v>21448</v>
      </c>
      <c r="H111" s="143">
        <f>(G111-F111)*100/F111</f>
        <v>-3.208628548219685</v>
      </c>
      <c r="I111" s="11"/>
      <c r="J111" s="11"/>
      <c r="K111" s="11"/>
      <c r="L111" s="11"/>
      <c r="M111" s="11"/>
    </row>
    <row r="112" spans="1:13" ht="17.25" customHeight="1">
      <c r="A112" s="1033" t="s">
        <v>1044</v>
      </c>
      <c r="B112" s="141" t="s">
        <v>158</v>
      </c>
      <c r="C112" s="140" t="s">
        <v>992</v>
      </c>
      <c r="D112" s="141" t="s">
        <v>789</v>
      </c>
      <c r="E112" s="170"/>
      <c r="F112" s="142"/>
      <c r="G112" s="142"/>
      <c r="H112" s="143"/>
      <c r="I112" s="11"/>
      <c r="J112" s="11"/>
      <c r="K112" s="11"/>
      <c r="L112" s="11"/>
      <c r="M112" s="11"/>
    </row>
    <row r="113" spans="1:13" ht="36">
      <c r="A113" s="1034"/>
      <c r="B113" s="141" t="s">
        <v>1004</v>
      </c>
      <c r="C113" s="140" t="s">
        <v>993</v>
      </c>
      <c r="D113" s="141"/>
      <c r="E113" s="170"/>
      <c r="F113" s="142"/>
      <c r="G113" s="142"/>
      <c r="H113" s="143"/>
      <c r="I113" s="11"/>
      <c r="J113" s="11"/>
      <c r="K113" s="11"/>
      <c r="L113" s="11"/>
      <c r="M113" s="11"/>
    </row>
    <row r="114" spans="1:13" ht="36">
      <c r="A114" s="1034"/>
      <c r="B114" s="182" t="s">
        <v>15</v>
      </c>
      <c r="C114" s="140" t="s">
        <v>994</v>
      </c>
      <c r="D114" s="141" t="s">
        <v>61</v>
      </c>
      <c r="E114" s="170" t="s">
        <v>1035</v>
      </c>
      <c r="F114" s="142">
        <v>1200223</v>
      </c>
      <c r="G114" s="142">
        <v>1191557</v>
      </c>
      <c r="H114" s="143">
        <f>(G114-F114)*100/F114</f>
        <v>-0.7220324889624679</v>
      </c>
      <c r="I114" s="11"/>
      <c r="J114" s="11"/>
      <c r="K114" s="11"/>
      <c r="L114" s="11"/>
      <c r="M114" s="11"/>
    </row>
    <row r="115" spans="1:13" ht="36">
      <c r="A115" s="1034"/>
      <c r="B115" s="141" t="s">
        <v>909</v>
      </c>
      <c r="C115" s="140" t="s">
        <v>60</v>
      </c>
      <c r="D115" s="141" t="s">
        <v>62</v>
      </c>
      <c r="E115" s="170" t="s">
        <v>1035</v>
      </c>
      <c r="F115" s="142">
        <v>1335256</v>
      </c>
      <c r="G115" s="142">
        <v>1328211</v>
      </c>
      <c r="H115" s="143">
        <f>(G115-F115)*100/F115</f>
        <v>-0.5276141803519325</v>
      </c>
      <c r="I115" s="11"/>
      <c r="J115" s="11"/>
      <c r="K115" s="11"/>
      <c r="L115" s="11"/>
      <c r="M115" s="11"/>
    </row>
    <row r="116" spans="1:13" ht="18">
      <c r="A116" s="1034"/>
      <c r="B116" s="141" t="s">
        <v>1005</v>
      </c>
      <c r="C116" s="140" t="s">
        <v>63</v>
      </c>
      <c r="D116" s="141"/>
      <c r="E116" s="170"/>
      <c r="F116" s="142"/>
      <c r="G116" s="142"/>
      <c r="H116" s="143"/>
      <c r="I116" s="11"/>
      <c r="J116" s="11"/>
      <c r="K116" s="11"/>
      <c r="L116" s="11"/>
      <c r="M116" s="11"/>
    </row>
    <row r="117" spans="1:13" ht="36">
      <c r="A117" s="1034"/>
      <c r="B117" s="182" t="s">
        <v>15</v>
      </c>
      <c r="C117" s="140" t="s">
        <v>994</v>
      </c>
      <c r="D117" s="141" t="s">
        <v>64</v>
      </c>
      <c r="E117" s="170" t="s">
        <v>1035</v>
      </c>
      <c r="F117" s="142">
        <v>748914</v>
      </c>
      <c r="G117" s="142">
        <v>772395</v>
      </c>
      <c r="H117" s="143">
        <f>(G117-F117)*100/F117</f>
        <v>3.135339972279861</v>
      </c>
      <c r="I117" s="11"/>
      <c r="J117" s="11"/>
      <c r="K117" s="11"/>
      <c r="L117" s="11"/>
      <c r="M117" s="11"/>
    </row>
    <row r="118" spans="1:13" ht="36">
      <c r="A118" s="1035"/>
      <c r="B118" s="141" t="s">
        <v>909</v>
      </c>
      <c r="C118" s="140" t="s">
        <v>60</v>
      </c>
      <c r="D118" s="141" t="s">
        <v>65</v>
      </c>
      <c r="E118" s="170" t="s">
        <v>1035</v>
      </c>
      <c r="F118" s="142">
        <v>883946</v>
      </c>
      <c r="G118" s="142">
        <v>909049</v>
      </c>
      <c r="H118" s="143">
        <f>(G118-F118)*100/F118</f>
        <v>2.8398793591463733</v>
      </c>
      <c r="I118" s="11"/>
      <c r="J118" s="11"/>
      <c r="K118" s="11"/>
      <c r="L118" s="11"/>
      <c r="M118" s="11"/>
    </row>
    <row r="119" spans="1:13" ht="36">
      <c r="A119" s="513" t="s">
        <v>1050</v>
      </c>
      <c r="B119" s="141" t="s">
        <v>159</v>
      </c>
      <c r="C119" s="140" t="s">
        <v>790</v>
      </c>
      <c r="D119" s="141" t="s">
        <v>791</v>
      </c>
      <c r="E119" s="170" t="s">
        <v>1035</v>
      </c>
      <c r="F119" s="142">
        <v>161933</v>
      </c>
      <c r="G119" s="142">
        <v>165350</v>
      </c>
      <c r="H119" s="143">
        <f>(G119-F119)*100/F119</f>
        <v>2.110131968159671</v>
      </c>
      <c r="I119" s="11"/>
      <c r="J119" s="11"/>
      <c r="K119" s="11"/>
      <c r="L119" s="11"/>
      <c r="M119" s="11"/>
    </row>
    <row r="120" spans="1:13" ht="36">
      <c r="A120" s="513" t="s">
        <v>300</v>
      </c>
      <c r="B120" s="170" t="s">
        <v>160</v>
      </c>
      <c r="C120" s="169" t="s">
        <v>792</v>
      </c>
      <c r="D120" s="170" t="s">
        <v>793</v>
      </c>
      <c r="E120" s="170" t="s">
        <v>1035</v>
      </c>
      <c r="F120" s="171">
        <v>115754</v>
      </c>
      <c r="G120" s="171">
        <v>118860</v>
      </c>
      <c r="H120" s="143">
        <f>(G120-F120)*100/F120</f>
        <v>2.683276603832265</v>
      </c>
      <c r="I120" s="11"/>
      <c r="J120" s="11"/>
      <c r="K120" s="11"/>
      <c r="L120" s="11"/>
      <c r="M120" s="11"/>
    </row>
    <row r="121" spans="1:13" ht="36">
      <c r="A121" s="513" t="s">
        <v>392</v>
      </c>
      <c r="B121" s="222" t="s">
        <v>161</v>
      </c>
      <c r="C121" s="140" t="s">
        <v>794</v>
      </c>
      <c r="D121" s="141" t="s">
        <v>795</v>
      </c>
      <c r="E121" s="170" t="s">
        <v>1035</v>
      </c>
      <c r="F121" s="142">
        <v>2396943</v>
      </c>
      <c r="G121" s="142">
        <v>2430693</v>
      </c>
      <c r="H121" s="143">
        <f>(G121-F121)*100/F121</f>
        <v>1.4080434954022687</v>
      </c>
      <c r="I121" s="11"/>
      <c r="J121" s="11"/>
      <c r="K121" s="11"/>
      <c r="L121" s="11"/>
      <c r="M121" s="11"/>
    </row>
    <row r="122" spans="1:13" ht="11.25" customHeight="1">
      <c r="A122" s="223"/>
      <c r="B122" s="160"/>
      <c r="C122" s="188"/>
      <c r="D122" s="188"/>
      <c r="E122" s="161"/>
      <c r="F122" s="151"/>
      <c r="G122" s="151"/>
      <c r="H122" s="143"/>
      <c r="I122" s="11"/>
      <c r="J122" s="11"/>
      <c r="K122" s="11"/>
      <c r="L122" s="11"/>
      <c r="M122" s="11"/>
    </row>
    <row r="123" spans="1:13" ht="18">
      <c r="A123" s="1033" t="s">
        <v>395</v>
      </c>
      <c r="B123" s="169"/>
      <c r="C123" s="201" t="s">
        <v>796</v>
      </c>
      <c r="D123" s="147"/>
      <c r="E123" s="146"/>
      <c r="F123" s="148"/>
      <c r="G123" s="148"/>
      <c r="H123" s="143"/>
      <c r="I123" s="11"/>
      <c r="J123" s="11"/>
      <c r="K123" s="11"/>
      <c r="L123" s="11"/>
      <c r="M123" s="11"/>
    </row>
    <row r="124" spans="1:13" ht="18">
      <c r="A124" s="1034"/>
      <c r="B124" s="141" t="s">
        <v>15</v>
      </c>
      <c r="C124" s="201" t="s">
        <v>797</v>
      </c>
      <c r="D124" s="182" t="s">
        <v>857</v>
      </c>
      <c r="E124" s="182" t="s">
        <v>926</v>
      </c>
      <c r="F124" s="202">
        <v>67035</v>
      </c>
      <c r="G124" s="202">
        <v>65741</v>
      </c>
      <c r="H124" s="143">
        <f>(G124-F124)*100/F124</f>
        <v>-1.930334899679272</v>
      </c>
      <c r="I124" s="11"/>
      <c r="J124" s="11"/>
      <c r="K124" s="11"/>
      <c r="L124" s="11"/>
      <c r="M124" s="11"/>
    </row>
    <row r="125" spans="1:13" ht="18">
      <c r="A125" s="1035"/>
      <c r="B125" s="141" t="s">
        <v>909</v>
      </c>
      <c r="C125" s="140" t="s">
        <v>987</v>
      </c>
      <c r="D125" s="182" t="s">
        <v>858</v>
      </c>
      <c r="E125" s="182" t="s">
        <v>926</v>
      </c>
      <c r="F125" s="142">
        <v>47583</v>
      </c>
      <c r="G125" s="142">
        <v>45755</v>
      </c>
      <c r="H125" s="143">
        <f>(G125-F125)*100/F125</f>
        <v>-3.841708173087027</v>
      </c>
      <c r="I125" s="11"/>
      <c r="J125" s="11"/>
      <c r="K125" s="11"/>
      <c r="L125" s="92"/>
      <c r="M125" s="11"/>
    </row>
    <row r="126" spans="1:13" ht="9.75" customHeight="1">
      <c r="A126" s="224"/>
      <c r="B126" s="225"/>
      <c r="C126" s="112"/>
      <c r="D126" s="178"/>
      <c r="E126" s="178"/>
      <c r="F126" s="179"/>
      <c r="G126" s="179"/>
      <c r="H126" s="226"/>
      <c r="I126" s="11"/>
      <c r="J126" s="11"/>
      <c r="K126" s="11"/>
      <c r="L126" s="11"/>
      <c r="M126" s="11"/>
    </row>
    <row r="127" spans="1:13" ht="36">
      <c r="A127" s="1036" t="s">
        <v>235</v>
      </c>
      <c r="B127" s="140"/>
      <c r="C127" s="140" t="s">
        <v>798</v>
      </c>
      <c r="D127" s="227"/>
      <c r="E127" s="140"/>
      <c r="F127" s="228"/>
      <c r="G127" s="228"/>
      <c r="H127" s="143"/>
      <c r="I127" s="11"/>
      <c r="J127" s="11"/>
      <c r="K127" s="11"/>
      <c r="L127" s="11"/>
      <c r="M127" s="11"/>
    </row>
    <row r="128" spans="1:13" ht="18">
      <c r="A128" s="1036"/>
      <c r="B128" s="141" t="s">
        <v>15</v>
      </c>
      <c r="C128" s="140" t="s">
        <v>708</v>
      </c>
      <c r="D128" s="141" t="s">
        <v>799</v>
      </c>
      <c r="E128" s="141" t="s">
        <v>1035</v>
      </c>
      <c r="F128" s="142">
        <v>300939</v>
      </c>
      <c r="G128" s="142">
        <v>300432</v>
      </c>
      <c r="H128" s="143">
        <f>(G128-F128)*100/F128</f>
        <v>-0.1684726805100037</v>
      </c>
      <c r="I128" s="11"/>
      <c r="J128" s="11"/>
      <c r="K128" s="11"/>
      <c r="L128" s="11"/>
      <c r="M128" s="11"/>
    </row>
    <row r="129" spans="1:13" ht="18">
      <c r="A129" s="1036"/>
      <c r="B129" s="141" t="s">
        <v>909</v>
      </c>
      <c r="C129" s="140" t="s">
        <v>800</v>
      </c>
      <c r="D129" s="141" t="s">
        <v>801</v>
      </c>
      <c r="E129" s="141" t="s">
        <v>1035</v>
      </c>
      <c r="F129" s="142">
        <v>260829</v>
      </c>
      <c r="G129" s="142">
        <v>261456</v>
      </c>
      <c r="H129" s="143">
        <f>(G129-F129)*100/F129</f>
        <v>0.24038738023762696</v>
      </c>
      <c r="I129" s="11"/>
      <c r="J129" s="11"/>
      <c r="K129" s="11"/>
      <c r="L129" s="11"/>
      <c r="M129" s="11"/>
    </row>
    <row r="130" spans="1:13" ht="9.75" customHeight="1">
      <c r="A130" s="141"/>
      <c r="B130" s="139"/>
      <c r="C130" s="112"/>
      <c r="D130" s="70"/>
      <c r="E130" s="112"/>
      <c r="F130" s="158"/>
      <c r="G130" s="158"/>
      <c r="H130" s="143"/>
      <c r="I130" s="11"/>
      <c r="J130" s="11"/>
      <c r="K130" s="11"/>
      <c r="L130" s="11"/>
      <c r="M130" s="11"/>
    </row>
    <row r="131" spans="1:13" ht="36">
      <c r="A131" s="513" t="s">
        <v>237</v>
      </c>
      <c r="B131" s="140"/>
      <c r="C131" s="140" t="s">
        <v>715</v>
      </c>
      <c r="D131" s="141" t="s">
        <v>802</v>
      </c>
      <c r="E131" s="141" t="s">
        <v>926</v>
      </c>
      <c r="F131" s="142">
        <v>50509</v>
      </c>
      <c r="G131" s="142">
        <v>49946</v>
      </c>
      <c r="H131" s="143">
        <f>(G131-F131)*100/F131</f>
        <v>-1.1146528341483697</v>
      </c>
      <c r="I131" s="11"/>
      <c r="J131" s="11"/>
      <c r="K131" s="91"/>
      <c r="L131" s="11"/>
      <c r="M131" s="11"/>
    </row>
    <row r="132" spans="1:13" ht="9.75" customHeight="1">
      <c r="A132" s="513"/>
      <c r="B132" s="140"/>
      <c r="C132" s="140"/>
      <c r="D132" s="141"/>
      <c r="E132" s="141"/>
      <c r="F132" s="142"/>
      <c r="G132" s="142"/>
      <c r="H132" s="143"/>
      <c r="I132" s="11"/>
      <c r="J132" s="11"/>
      <c r="K132" s="91"/>
      <c r="L132" s="11"/>
      <c r="M132" s="11"/>
    </row>
    <row r="133" spans="1:13" ht="18">
      <c r="A133" s="1033" t="s">
        <v>1216</v>
      </c>
      <c r="B133" s="140"/>
      <c r="C133" s="140" t="s">
        <v>859</v>
      </c>
      <c r="D133" s="141"/>
      <c r="E133" s="141"/>
      <c r="F133" s="142"/>
      <c r="G133" s="142"/>
      <c r="H133" s="143"/>
      <c r="I133" s="11"/>
      <c r="J133" s="11"/>
      <c r="K133" s="112"/>
      <c r="L133" s="11"/>
      <c r="M133" s="11"/>
    </row>
    <row r="134" spans="1:13" ht="18">
      <c r="A134" s="1034"/>
      <c r="B134" s="141" t="s">
        <v>1004</v>
      </c>
      <c r="C134" s="140" t="s">
        <v>987</v>
      </c>
      <c r="D134" s="141"/>
      <c r="E134" s="141"/>
      <c r="F134" s="142"/>
      <c r="G134" s="142"/>
      <c r="H134" s="143"/>
      <c r="I134" s="11"/>
      <c r="J134" s="11"/>
      <c r="K134" s="11"/>
      <c r="L134" s="11"/>
      <c r="M134" s="11"/>
    </row>
    <row r="135" spans="1:13" ht="18">
      <c r="A135" s="1034"/>
      <c r="B135" s="141" t="s">
        <v>15</v>
      </c>
      <c r="C135" s="140" t="s">
        <v>122</v>
      </c>
      <c r="D135" s="141" t="s">
        <v>803</v>
      </c>
      <c r="E135" s="141" t="s">
        <v>1035</v>
      </c>
      <c r="F135" s="142">
        <v>327385</v>
      </c>
      <c r="G135" s="142">
        <v>318489</v>
      </c>
      <c r="H135" s="143">
        <f>(G135-F135)*100/F135</f>
        <v>-2.7172900407776774</v>
      </c>
      <c r="I135" s="11"/>
      <c r="J135" s="11"/>
      <c r="K135" s="11"/>
      <c r="L135" s="92"/>
      <c r="M135" s="11"/>
    </row>
    <row r="136" spans="1:13" ht="18">
      <c r="A136" s="1035"/>
      <c r="B136" s="141" t="s">
        <v>909</v>
      </c>
      <c r="C136" s="140" t="s">
        <v>121</v>
      </c>
      <c r="D136" s="141" t="s">
        <v>804</v>
      </c>
      <c r="E136" s="141" t="s">
        <v>1035</v>
      </c>
      <c r="F136" s="142">
        <v>371815</v>
      </c>
      <c r="G136" s="142">
        <v>366833</v>
      </c>
      <c r="H136" s="143">
        <f>(G136-F136)*100/F136</f>
        <v>-1.3399136667428695</v>
      </c>
      <c r="I136" s="11"/>
      <c r="J136" s="11"/>
      <c r="K136" s="11"/>
      <c r="L136" s="92"/>
      <c r="M136" s="11"/>
    </row>
    <row r="137" spans="1:13" ht="9.75" customHeight="1">
      <c r="A137" s="510"/>
      <c r="B137" s="141"/>
      <c r="C137" s="140"/>
      <c r="D137" s="141"/>
      <c r="E137" s="141"/>
      <c r="F137" s="142"/>
      <c r="G137" s="142"/>
      <c r="H137" s="143"/>
      <c r="I137" s="11"/>
      <c r="J137" s="11"/>
      <c r="K137" s="11"/>
      <c r="L137" s="11"/>
      <c r="M137" s="11"/>
    </row>
    <row r="138" spans="1:13" ht="36">
      <c r="A138" s="1033" t="s">
        <v>853</v>
      </c>
      <c r="B138" s="140"/>
      <c r="C138" s="140" t="s">
        <v>805</v>
      </c>
      <c r="D138" s="141"/>
      <c r="E138" s="141"/>
      <c r="F138" s="142"/>
      <c r="G138" s="142"/>
      <c r="H138" s="143"/>
      <c r="I138" s="11"/>
      <c r="J138" s="11"/>
      <c r="K138" s="11"/>
      <c r="L138" s="11"/>
      <c r="M138" s="11"/>
    </row>
    <row r="139" spans="1:13" ht="18">
      <c r="A139" s="1034"/>
      <c r="B139" s="141" t="s">
        <v>15</v>
      </c>
      <c r="C139" s="140" t="s">
        <v>806</v>
      </c>
      <c r="D139" s="141" t="s">
        <v>807</v>
      </c>
      <c r="E139" s="141" t="s">
        <v>1035</v>
      </c>
      <c r="F139" s="142">
        <v>474359</v>
      </c>
      <c r="G139" s="142">
        <v>468479</v>
      </c>
      <c r="H139" s="143">
        <f>(G139-F139)*100/F139</f>
        <v>-1.2395675005639188</v>
      </c>
      <c r="I139" s="11"/>
      <c r="J139" s="11"/>
      <c r="K139" s="11"/>
      <c r="L139" s="11"/>
      <c r="M139" s="11"/>
    </row>
    <row r="140" spans="1:13" ht="18">
      <c r="A140" s="1035"/>
      <c r="B140" s="141" t="s">
        <v>909</v>
      </c>
      <c r="C140" s="140" t="s">
        <v>1258</v>
      </c>
      <c r="D140" s="141" t="s">
        <v>808</v>
      </c>
      <c r="E140" s="141" t="s">
        <v>1035</v>
      </c>
      <c r="F140" s="142">
        <v>518789</v>
      </c>
      <c r="G140" s="142">
        <v>516824</v>
      </c>
      <c r="H140" s="143">
        <f>(G140-F140)*100/F140</f>
        <v>-0.37876670476821983</v>
      </c>
      <c r="I140" s="11"/>
      <c r="J140" s="11"/>
      <c r="K140" s="11"/>
      <c r="L140" s="11"/>
      <c r="M140" s="11"/>
    </row>
    <row r="141" spans="1:13" ht="36">
      <c r="A141" s="513" t="s">
        <v>879</v>
      </c>
      <c r="B141" s="140"/>
      <c r="C141" s="140" t="s">
        <v>691</v>
      </c>
      <c r="D141" s="141" t="s">
        <v>692</v>
      </c>
      <c r="E141" s="141" t="s">
        <v>394</v>
      </c>
      <c r="F141" s="142">
        <v>24793</v>
      </c>
      <c r="G141" s="142">
        <v>24082</v>
      </c>
      <c r="H141" s="143">
        <f>(G141-F141)*100/F141</f>
        <v>-2.867744928003872</v>
      </c>
      <c r="I141" s="11"/>
      <c r="J141" s="11"/>
      <c r="K141" s="11"/>
      <c r="L141" s="11"/>
      <c r="M141" s="11"/>
    </row>
    <row r="142" spans="1:13" ht="54">
      <c r="A142" s="1033" t="s">
        <v>693</v>
      </c>
      <c r="B142" s="140"/>
      <c r="C142" s="140" t="s">
        <v>261</v>
      </c>
      <c r="D142" s="141" t="s">
        <v>694</v>
      </c>
      <c r="E142" s="141"/>
      <c r="F142" s="142"/>
      <c r="G142" s="142"/>
      <c r="H142" s="143"/>
      <c r="I142" s="11"/>
      <c r="J142" s="47"/>
      <c r="L142" s="11"/>
      <c r="M142" s="11"/>
    </row>
    <row r="143" spans="1:13" ht="17.25" customHeight="1">
      <c r="A143" s="1034"/>
      <c r="B143" s="141" t="s">
        <v>15</v>
      </c>
      <c r="C143" s="140" t="s">
        <v>1328</v>
      </c>
      <c r="D143" s="141" t="s">
        <v>262</v>
      </c>
      <c r="E143" s="141" t="s">
        <v>239</v>
      </c>
      <c r="F143" s="142">
        <v>781977</v>
      </c>
      <c r="G143" s="256">
        <v>819848</v>
      </c>
      <c r="H143" s="559">
        <f>(G143-F143)*100/F143</f>
        <v>4.842981315307227</v>
      </c>
      <c r="I143" s="235"/>
      <c r="J143" s="47"/>
      <c r="K143" s="112"/>
      <c r="L143" s="11"/>
      <c r="M143" s="11"/>
    </row>
    <row r="144" spans="1:13" ht="18">
      <c r="A144" s="1035"/>
      <c r="B144" s="141" t="s">
        <v>909</v>
      </c>
      <c r="C144" s="140" t="s">
        <v>164</v>
      </c>
      <c r="D144" s="141" t="s">
        <v>263</v>
      </c>
      <c r="E144" s="141" t="s">
        <v>239</v>
      </c>
      <c r="F144" s="142">
        <v>2271892</v>
      </c>
      <c r="G144" s="142">
        <v>2397667</v>
      </c>
      <c r="H144" s="143">
        <f>(G144-F144)*100/F144</f>
        <v>5.536134640202968</v>
      </c>
      <c r="I144" s="11"/>
      <c r="J144" s="47"/>
      <c r="K144" s="112"/>
      <c r="L144" s="11"/>
      <c r="M144" s="11"/>
    </row>
    <row r="145" spans="1:13" ht="41.25" customHeight="1">
      <c r="A145" s="513" t="s">
        <v>695</v>
      </c>
      <c r="B145" s="140"/>
      <c r="C145" s="140" t="s">
        <v>696</v>
      </c>
      <c r="D145" s="141" t="s">
        <v>697</v>
      </c>
      <c r="E145" s="141" t="s">
        <v>852</v>
      </c>
      <c r="F145" s="142">
        <v>333362</v>
      </c>
      <c r="G145" s="142">
        <v>334544</v>
      </c>
      <c r="H145" s="143">
        <f>(G145-F145)*100/F145</f>
        <v>0.3545695070223961</v>
      </c>
      <c r="I145" s="11"/>
      <c r="J145" s="47"/>
      <c r="K145" s="11"/>
      <c r="L145" s="11"/>
      <c r="M145" s="11"/>
    </row>
    <row r="146" spans="1:13" ht="18">
      <c r="A146" s="1036" t="s">
        <v>543</v>
      </c>
      <c r="B146" s="140"/>
      <c r="C146" s="140" t="s">
        <v>544</v>
      </c>
      <c r="D146" s="141"/>
      <c r="E146" s="141"/>
      <c r="F146" s="142"/>
      <c r="G146" s="142"/>
      <c r="H146" s="143"/>
      <c r="I146" s="11"/>
      <c r="J146" s="11"/>
      <c r="K146" s="11"/>
      <c r="L146" s="11"/>
      <c r="M146" s="11"/>
    </row>
    <row r="147" spans="1:13" ht="18">
      <c r="A147" s="1036"/>
      <c r="B147" s="141" t="s">
        <v>15</v>
      </c>
      <c r="C147" s="140" t="s">
        <v>545</v>
      </c>
      <c r="D147" s="141" t="s">
        <v>546</v>
      </c>
      <c r="E147" s="141" t="s">
        <v>1035</v>
      </c>
      <c r="F147" s="142">
        <v>926447</v>
      </c>
      <c r="G147" s="142">
        <v>1061168</v>
      </c>
      <c r="H147" s="143">
        <f>(G147-F147)*100/F147</f>
        <v>14.541684521618613</v>
      </c>
      <c r="I147" s="11"/>
      <c r="J147" s="11"/>
      <c r="K147" s="11"/>
      <c r="L147" s="11"/>
      <c r="M147" s="11"/>
    </row>
    <row r="148" spans="1:13" ht="18">
      <c r="A148" s="1036"/>
      <c r="B148" s="141" t="s">
        <v>909</v>
      </c>
      <c r="C148" s="140" t="s">
        <v>547</v>
      </c>
      <c r="D148" s="141" t="s">
        <v>548</v>
      </c>
      <c r="E148" s="141" t="s">
        <v>1035</v>
      </c>
      <c r="F148" s="142">
        <v>1407717</v>
      </c>
      <c r="G148" s="142">
        <v>1555528</v>
      </c>
      <c r="H148" s="143">
        <f>(G148-F148)*100/F148</f>
        <v>10.500050791458795</v>
      </c>
      <c r="I148" s="11"/>
      <c r="J148" s="11"/>
      <c r="K148" s="11"/>
      <c r="L148" s="11"/>
      <c r="M148" s="11"/>
    </row>
    <row r="149" spans="1:13" ht="18">
      <c r="A149" s="1036"/>
      <c r="B149" s="141" t="s">
        <v>158</v>
      </c>
      <c r="C149" s="140" t="s">
        <v>662</v>
      </c>
      <c r="D149" s="141" t="s">
        <v>663</v>
      </c>
      <c r="E149" s="141" t="s">
        <v>1035</v>
      </c>
      <c r="F149" s="142">
        <v>1982562</v>
      </c>
      <c r="G149" s="142">
        <v>2146102</v>
      </c>
      <c r="H149" s="143">
        <f>(G149-F149)*100/F149</f>
        <v>8.248922354004566</v>
      </c>
      <c r="I149" s="11"/>
      <c r="J149" s="11"/>
      <c r="K149" s="11"/>
      <c r="L149" s="11"/>
      <c r="M149" s="11"/>
    </row>
    <row r="150" spans="1:13" ht="36">
      <c r="A150" s="1033" t="s">
        <v>664</v>
      </c>
      <c r="B150" s="140"/>
      <c r="C150" s="140" t="s">
        <v>665</v>
      </c>
      <c r="D150" s="141" t="s">
        <v>666</v>
      </c>
      <c r="E150" s="139"/>
      <c r="F150" s="158"/>
      <c r="G150" s="158"/>
      <c r="H150" s="143"/>
      <c r="I150" s="11"/>
      <c r="J150" s="11"/>
      <c r="K150" s="11"/>
      <c r="L150" s="11"/>
      <c r="M150" s="11"/>
    </row>
    <row r="151" spans="1:13" ht="18">
      <c r="A151" s="1034"/>
      <c r="B151" s="141" t="s">
        <v>15</v>
      </c>
      <c r="C151" s="140" t="s">
        <v>456</v>
      </c>
      <c r="D151" s="141" t="s">
        <v>667</v>
      </c>
      <c r="E151" s="141" t="s">
        <v>394</v>
      </c>
      <c r="F151" s="142">
        <v>1984</v>
      </c>
      <c r="G151" s="142">
        <v>1984</v>
      </c>
      <c r="H151" s="143">
        <f>(G151-F151)*100/F151</f>
        <v>0</v>
      </c>
      <c r="I151" s="11"/>
      <c r="J151" s="11"/>
      <c r="K151" s="11"/>
      <c r="L151" s="11"/>
      <c r="M151" s="11"/>
    </row>
    <row r="152" spans="1:13" ht="18">
      <c r="A152" s="1034"/>
      <c r="B152" s="141" t="s">
        <v>909</v>
      </c>
      <c r="C152" s="140" t="s">
        <v>457</v>
      </c>
      <c r="D152" s="141" t="s">
        <v>668</v>
      </c>
      <c r="E152" s="141" t="s">
        <v>394</v>
      </c>
      <c r="F152" s="142">
        <v>3766</v>
      </c>
      <c r="G152" s="142">
        <v>3766</v>
      </c>
      <c r="H152" s="143">
        <f>(G152-F152)*100/F152</f>
        <v>0</v>
      </c>
      <c r="I152" s="11"/>
      <c r="J152" s="11"/>
      <c r="K152" s="11"/>
      <c r="L152" s="11"/>
      <c r="M152" s="11"/>
    </row>
    <row r="153" spans="1:13" ht="18">
      <c r="A153" s="1034"/>
      <c r="B153" s="141" t="s">
        <v>158</v>
      </c>
      <c r="C153" s="140" t="s">
        <v>458</v>
      </c>
      <c r="D153" s="141" t="s">
        <v>669</v>
      </c>
      <c r="E153" s="141" t="s">
        <v>394</v>
      </c>
      <c r="F153" s="142">
        <v>4486</v>
      </c>
      <c r="G153" s="142">
        <v>4486</v>
      </c>
      <c r="H153" s="143">
        <f>(G153-F153)*100/F153</f>
        <v>0</v>
      </c>
      <c r="I153" s="11"/>
      <c r="J153" s="11"/>
      <c r="K153" s="11"/>
      <c r="L153" s="11"/>
      <c r="M153" s="11"/>
    </row>
    <row r="154" spans="1:13" ht="18">
      <c r="A154" s="1034"/>
      <c r="B154" s="141" t="s">
        <v>159</v>
      </c>
      <c r="C154" s="140" t="s">
        <v>459</v>
      </c>
      <c r="D154" s="141" t="s">
        <v>670</v>
      </c>
      <c r="E154" s="141" t="s">
        <v>394</v>
      </c>
      <c r="F154" s="142">
        <v>4486</v>
      </c>
      <c r="G154" s="142">
        <v>4486</v>
      </c>
      <c r="H154" s="143">
        <f>(G154-F154)*100/F154</f>
        <v>0</v>
      </c>
      <c r="I154" s="11"/>
      <c r="J154" s="11"/>
      <c r="K154" s="11"/>
      <c r="L154" s="11"/>
      <c r="M154" s="11"/>
    </row>
    <row r="155" spans="1:13" ht="18">
      <c r="A155" s="1035"/>
      <c r="B155" s="141" t="s">
        <v>160</v>
      </c>
      <c r="C155" s="140" t="s">
        <v>460</v>
      </c>
      <c r="D155" s="141" t="s">
        <v>671</v>
      </c>
      <c r="E155" s="141" t="s">
        <v>394</v>
      </c>
      <c r="F155" s="142">
        <v>4486</v>
      </c>
      <c r="G155" s="142">
        <v>4486</v>
      </c>
      <c r="H155" s="143">
        <f>(G155-F155)*100/F155</f>
        <v>0</v>
      </c>
      <c r="I155" s="100"/>
      <c r="J155" s="100"/>
      <c r="K155" s="100"/>
      <c r="L155" s="100"/>
      <c r="M155" s="100"/>
    </row>
    <row r="156" spans="1:13" ht="9.75" customHeight="1">
      <c r="A156" s="512"/>
      <c r="B156" s="225"/>
      <c r="C156" s="112"/>
      <c r="D156" s="178"/>
      <c r="E156" s="178"/>
      <c r="F156" s="179"/>
      <c r="G156" s="179"/>
      <c r="H156" s="143"/>
      <c r="I156" s="100"/>
      <c r="J156" s="100"/>
      <c r="K156" s="100"/>
      <c r="L156" s="100"/>
      <c r="M156" s="100"/>
    </row>
    <row r="157" spans="1:13" ht="17.25" customHeight="1">
      <c r="A157" s="1036" t="s">
        <v>672</v>
      </c>
      <c r="B157" s="152"/>
      <c r="C157" s="140" t="s">
        <v>860</v>
      </c>
      <c r="D157" s="154"/>
      <c r="E157" s="153"/>
      <c r="F157" s="142"/>
      <c r="G157" s="142"/>
      <c r="H157" s="143"/>
      <c r="I157" s="100"/>
      <c r="J157" s="100"/>
      <c r="L157" s="100"/>
      <c r="M157" s="100"/>
    </row>
    <row r="158" spans="1:13" ht="18" customHeight="1">
      <c r="A158" s="1036"/>
      <c r="B158" s="141" t="s">
        <v>15</v>
      </c>
      <c r="C158" s="140" t="s">
        <v>673</v>
      </c>
      <c r="D158" s="141" t="s">
        <v>674</v>
      </c>
      <c r="E158" s="141" t="s">
        <v>926</v>
      </c>
      <c r="F158" s="142">
        <v>73838</v>
      </c>
      <c r="G158" s="142">
        <v>72854</v>
      </c>
      <c r="H158" s="143">
        <f>(G158-F158)*100/F158</f>
        <v>-1.3326471464557545</v>
      </c>
      <c r="I158" s="100"/>
      <c r="J158" s="100"/>
      <c r="L158" s="113"/>
      <c r="M158" s="100"/>
    </row>
    <row r="159" spans="1:13" ht="9" customHeight="1">
      <c r="A159" s="512"/>
      <c r="B159" s="225"/>
      <c r="C159" s="112"/>
      <c r="D159" s="178"/>
      <c r="E159" s="178"/>
      <c r="F159" s="179"/>
      <c r="G159" s="179"/>
      <c r="H159" s="229"/>
      <c r="I159" s="100"/>
      <c r="J159" s="100"/>
      <c r="K159" s="92"/>
      <c r="L159" s="100"/>
      <c r="M159" s="100"/>
    </row>
    <row r="160" spans="1:13" ht="36">
      <c r="A160" s="1036" t="s">
        <v>675</v>
      </c>
      <c r="B160" s="222"/>
      <c r="C160" s="230" t="s">
        <v>676</v>
      </c>
      <c r="D160" s="231"/>
      <c r="E160" s="189"/>
      <c r="F160" s="232"/>
      <c r="G160" s="232"/>
      <c r="H160" s="143"/>
      <c r="I160" s="100"/>
      <c r="J160" s="100"/>
      <c r="K160" s="92"/>
      <c r="L160" s="100"/>
      <c r="M160" s="100"/>
    </row>
    <row r="161" spans="1:13" ht="74.25" customHeight="1">
      <c r="A161" s="1036"/>
      <c r="B161" s="141" t="s">
        <v>15</v>
      </c>
      <c r="C161" s="233" t="s">
        <v>532</v>
      </c>
      <c r="D161" s="141" t="s">
        <v>533</v>
      </c>
      <c r="E161" s="141" t="s">
        <v>926</v>
      </c>
      <c r="F161" s="142">
        <v>1051129</v>
      </c>
      <c r="G161" s="142">
        <v>1124599</v>
      </c>
      <c r="H161" s="143">
        <f>(G161-F161)*100/F161</f>
        <v>6.989627343551553</v>
      </c>
      <c r="I161" s="100"/>
      <c r="J161" s="100"/>
      <c r="K161" s="91"/>
      <c r="L161" s="100"/>
      <c r="M161" s="100"/>
    </row>
    <row r="162" spans="1:13" ht="57.75" customHeight="1">
      <c r="A162" s="1036"/>
      <c r="B162" s="141" t="s">
        <v>909</v>
      </c>
      <c r="C162" s="233" t="s">
        <v>534</v>
      </c>
      <c r="D162" s="141" t="s">
        <v>535</v>
      </c>
      <c r="E162" s="141" t="s">
        <v>926</v>
      </c>
      <c r="F162" s="142">
        <v>872674</v>
      </c>
      <c r="G162" s="142">
        <v>946173</v>
      </c>
      <c r="H162" s="143">
        <f>(G162-F162)*100/F162</f>
        <v>8.422274526340878</v>
      </c>
      <c r="I162" s="100"/>
      <c r="J162" s="100"/>
      <c r="K162" s="91"/>
      <c r="L162" s="100"/>
      <c r="M162" s="100"/>
    </row>
    <row r="163" spans="1:13" ht="9" customHeight="1">
      <c r="A163" s="550"/>
      <c r="B163" s="178"/>
      <c r="C163" s="234"/>
      <c r="D163" s="178"/>
      <c r="E163" s="178"/>
      <c r="F163" s="179"/>
      <c r="G163" s="179"/>
      <c r="H163" s="143"/>
      <c r="I163" s="100"/>
      <c r="J163" s="100"/>
      <c r="K163" s="91"/>
      <c r="L163" s="100"/>
      <c r="M163" s="100"/>
    </row>
    <row r="164" spans="1:13" ht="57" customHeight="1">
      <c r="A164" s="513" t="s">
        <v>59</v>
      </c>
      <c r="B164" s="141"/>
      <c r="C164" s="233" t="s">
        <v>1259</v>
      </c>
      <c r="D164" s="141" t="s">
        <v>1260</v>
      </c>
      <c r="E164" s="141" t="s">
        <v>926</v>
      </c>
      <c r="F164" s="142">
        <v>1166351</v>
      </c>
      <c r="G164" s="142">
        <v>1166226</v>
      </c>
      <c r="H164" s="143">
        <f>(G164-F164)*100/F164</f>
        <v>-0.010717185478470889</v>
      </c>
      <c r="I164" s="235"/>
      <c r="J164" s="100"/>
      <c r="K164" s="91"/>
      <c r="L164" s="100"/>
      <c r="M164" s="100"/>
    </row>
    <row r="165" spans="1:13" ht="9" customHeight="1">
      <c r="A165" s="550"/>
      <c r="B165" s="178"/>
      <c r="C165" s="234"/>
      <c r="D165" s="178"/>
      <c r="E165" s="178"/>
      <c r="F165" s="179"/>
      <c r="G165" s="179"/>
      <c r="H165" s="143"/>
      <c r="I165" s="100"/>
      <c r="J165" s="100"/>
      <c r="K165" s="91"/>
      <c r="L165" s="100"/>
      <c r="M165" s="100"/>
    </row>
    <row r="166" spans="1:13" ht="55.5" customHeight="1">
      <c r="A166" s="513" t="s">
        <v>872</v>
      </c>
      <c r="B166" s="141"/>
      <c r="C166" s="233" t="s">
        <v>1261</v>
      </c>
      <c r="D166" s="141" t="s">
        <v>1262</v>
      </c>
      <c r="E166" s="141" t="s">
        <v>926</v>
      </c>
      <c r="F166" s="142">
        <v>12140</v>
      </c>
      <c r="G166" s="142">
        <v>12854</v>
      </c>
      <c r="H166" s="143">
        <f>(G166-F166)*100/F166</f>
        <v>5.881383855024712</v>
      </c>
      <c r="I166" s="235"/>
      <c r="J166" s="100"/>
      <c r="K166" s="91"/>
      <c r="L166" s="100"/>
      <c r="M166" s="100"/>
    </row>
    <row r="167" spans="1:13" ht="9.75" customHeight="1">
      <c r="A167" s="236"/>
      <c r="B167" s="204"/>
      <c r="C167" s="204"/>
      <c r="D167" s="205"/>
      <c r="E167" s="204"/>
      <c r="F167" s="206"/>
      <c r="G167" s="206"/>
      <c r="H167" s="159"/>
      <c r="I167" s="100"/>
      <c r="J167" s="100"/>
      <c r="K167" s="91"/>
      <c r="L167" s="100"/>
      <c r="M167" s="100"/>
    </row>
    <row r="168" spans="1:13" ht="18">
      <c r="A168" s="1045" t="s">
        <v>536</v>
      </c>
      <c r="B168" s="1046"/>
      <c r="C168" s="1046"/>
      <c r="D168" s="237"/>
      <c r="E168" s="93"/>
      <c r="F168" s="166"/>
      <c r="G168" s="166"/>
      <c r="H168" s="159"/>
      <c r="I168" s="11"/>
      <c r="J168" s="11"/>
      <c r="K168" s="11"/>
      <c r="L168" s="11"/>
      <c r="M168" s="11"/>
    </row>
    <row r="169" spans="1:13" ht="11.25" customHeight="1">
      <c r="A169" s="238"/>
      <c r="B169" s="218"/>
      <c r="C169" s="220"/>
      <c r="D169" s="219"/>
      <c r="E169" s="220"/>
      <c r="F169" s="221"/>
      <c r="G169" s="221"/>
      <c r="H169" s="159"/>
      <c r="I169" s="11"/>
      <c r="J169" s="11"/>
      <c r="K169" s="11"/>
      <c r="L169" s="11"/>
      <c r="M169" s="11"/>
    </row>
    <row r="170" spans="1:13" ht="40.5" customHeight="1">
      <c r="A170" s="1033" t="s">
        <v>537</v>
      </c>
      <c r="B170" s="239"/>
      <c r="C170" s="239" t="s">
        <v>1060</v>
      </c>
      <c r="D170" s="160"/>
      <c r="E170" s="161"/>
      <c r="F170" s="151"/>
      <c r="G170" s="151"/>
      <c r="H170" s="143"/>
      <c r="I170" s="11"/>
      <c r="J170" s="11"/>
      <c r="K170" s="11"/>
      <c r="L170" s="11"/>
      <c r="M170" s="11"/>
    </row>
    <row r="171" spans="1:13" ht="11.25" customHeight="1">
      <c r="A171" s="1034"/>
      <c r="B171" s="152"/>
      <c r="C171" s="153"/>
      <c r="D171" s="154"/>
      <c r="E171" s="153"/>
      <c r="F171" s="155"/>
      <c r="G171" s="155"/>
      <c r="H171" s="143"/>
      <c r="I171" s="11"/>
      <c r="J171" s="11"/>
      <c r="K171" s="11"/>
      <c r="L171" s="11"/>
      <c r="M171" s="11"/>
    </row>
    <row r="172" spans="1:13" ht="27.75" customHeight="1">
      <c r="A172" s="1034"/>
      <c r="B172" s="141" t="s">
        <v>15</v>
      </c>
      <c r="C172" s="140" t="s">
        <v>66</v>
      </c>
      <c r="D172" s="141" t="s">
        <v>539</v>
      </c>
      <c r="E172" s="141" t="s">
        <v>926</v>
      </c>
      <c r="F172" s="142">
        <v>119446</v>
      </c>
      <c r="G172" s="142">
        <v>113690</v>
      </c>
      <c r="H172" s="143">
        <f>(G172-F172)*100/F172</f>
        <v>-4.818913986236458</v>
      </c>
      <c r="I172" s="11"/>
      <c r="J172" s="11"/>
      <c r="K172" s="11"/>
      <c r="L172" s="11"/>
      <c r="M172" s="11"/>
    </row>
    <row r="173" spans="1:13" ht="25.5" customHeight="1">
      <c r="A173" s="1034"/>
      <c r="B173" s="141" t="s">
        <v>909</v>
      </c>
      <c r="C173" s="140" t="s">
        <v>67</v>
      </c>
      <c r="D173" s="141" t="s">
        <v>541</v>
      </c>
      <c r="E173" s="141" t="s">
        <v>926</v>
      </c>
      <c r="F173" s="142">
        <v>172454</v>
      </c>
      <c r="G173" s="142">
        <v>169813</v>
      </c>
      <c r="H173" s="143">
        <f>(G173-F173)*100/F173</f>
        <v>-1.5314228721862062</v>
      </c>
      <c r="I173" s="11"/>
      <c r="J173" s="11"/>
      <c r="K173" s="11"/>
      <c r="L173" s="11"/>
      <c r="M173" s="11"/>
    </row>
    <row r="174" spans="1:13" ht="37.5" customHeight="1">
      <c r="A174" s="1034"/>
      <c r="B174" s="141" t="s">
        <v>158</v>
      </c>
      <c r="C174" s="140" t="s">
        <v>542</v>
      </c>
      <c r="D174" s="141" t="s">
        <v>432</v>
      </c>
      <c r="E174" s="141" t="s">
        <v>926</v>
      </c>
      <c r="F174" s="142">
        <v>251071</v>
      </c>
      <c r="G174" s="142">
        <v>241686</v>
      </c>
      <c r="H174" s="143">
        <f>(G174-F174)*100/F174</f>
        <v>-3.7379864659797426</v>
      </c>
      <c r="I174" s="11"/>
      <c r="J174" s="11"/>
      <c r="K174" s="11"/>
      <c r="L174" s="11"/>
      <c r="M174" s="11"/>
    </row>
    <row r="175" spans="1:13" ht="39" customHeight="1">
      <c r="A175" s="1035"/>
      <c r="B175" s="141" t="s">
        <v>159</v>
      </c>
      <c r="C175" s="140" t="s">
        <v>1061</v>
      </c>
      <c r="D175" s="141" t="s">
        <v>1197</v>
      </c>
      <c r="E175" s="141" t="s">
        <v>926</v>
      </c>
      <c r="F175" s="142">
        <v>378952</v>
      </c>
      <c r="G175" s="142">
        <v>373318</v>
      </c>
      <c r="H175" s="143">
        <f>(G175-F175)*100/F175</f>
        <v>-1.4867318288332032</v>
      </c>
      <c r="I175" s="11"/>
      <c r="J175" s="11"/>
      <c r="K175" s="11"/>
      <c r="L175" s="11"/>
      <c r="M175" s="11"/>
    </row>
    <row r="176" spans="1:13" ht="9.75" customHeight="1">
      <c r="A176" s="141"/>
      <c r="B176" s="145"/>
      <c r="C176" s="146"/>
      <c r="D176" s="147"/>
      <c r="E176" s="146"/>
      <c r="F176" s="148"/>
      <c r="G176" s="148"/>
      <c r="H176" s="143"/>
      <c r="I176" s="11"/>
      <c r="J176" s="11"/>
      <c r="K176" s="11"/>
      <c r="L176" s="11"/>
      <c r="M176" s="11"/>
    </row>
    <row r="177" spans="1:13" ht="40.5" customHeight="1">
      <c r="A177" s="1033" t="s">
        <v>1198</v>
      </c>
      <c r="B177" s="140"/>
      <c r="C177" s="239" t="s">
        <v>1060</v>
      </c>
      <c r="D177" s="160"/>
      <c r="E177" s="161"/>
      <c r="F177" s="151"/>
      <c r="G177" s="151"/>
      <c r="H177" s="143"/>
      <c r="I177" s="11"/>
      <c r="J177" s="11"/>
      <c r="K177" s="11"/>
      <c r="L177" s="11"/>
      <c r="M177" s="11"/>
    </row>
    <row r="178" spans="1:13" ht="37.5" customHeight="1">
      <c r="A178" s="1034"/>
      <c r="B178" s="141" t="s">
        <v>15</v>
      </c>
      <c r="C178" s="140" t="s">
        <v>1199</v>
      </c>
      <c r="D178" s="182" t="s">
        <v>1200</v>
      </c>
      <c r="E178" s="182" t="s">
        <v>926</v>
      </c>
      <c r="F178" s="202">
        <v>143836</v>
      </c>
      <c r="G178" s="202">
        <v>137866</v>
      </c>
      <c r="H178" s="143">
        <f>(G178-F178)*100/F178</f>
        <v>-4.150560360410467</v>
      </c>
      <c r="I178" s="11"/>
      <c r="J178" s="11"/>
      <c r="K178" s="11"/>
      <c r="L178" s="11"/>
      <c r="M178" s="11"/>
    </row>
    <row r="179" spans="1:13" ht="37.5" customHeight="1">
      <c r="A179" s="1034"/>
      <c r="B179" s="141" t="s">
        <v>909</v>
      </c>
      <c r="C179" s="140" t="s">
        <v>1201</v>
      </c>
      <c r="D179" s="141" t="s">
        <v>1202</v>
      </c>
      <c r="E179" s="141" t="s">
        <v>926</v>
      </c>
      <c r="F179" s="142">
        <v>196844</v>
      </c>
      <c r="G179" s="142">
        <v>193989</v>
      </c>
      <c r="H179" s="143">
        <f>(G179-F179)*100/F179</f>
        <v>-1.4503871085732865</v>
      </c>
      <c r="I179" s="11"/>
      <c r="J179" s="11"/>
      <c r="K179" s="11"/>
      <c r="L179" s="11"/>
      <c r="M179" s="11"/>
    </row>
    <row r="180" spans="1:13" ht="38.25" customHeight="1">
      <c r="A180" s="1034"/>
      <c r="B180" s="141" t="s">
        <v>158</v>
      </c>
      <c r="C180" s="140" t="s">
        <v>1314</v>
      </c>
      <c r="D180" s="141" t="s">
        <v>1315</v>
      </c>
      <c r="E180" s="141" t="s">
        <v>926</v>
      </c>
      <c r="F180" s="142">
        <v>250890</v>
      </c>
      <c r="G180" s="142">
        <v>241328</v>
      </c>
      <c r="H180" s="143">
        <f>(G180-F180)*100/F180</f>
        <v>-3.811232014030053</v>
      </c>
      <c r="I180" s="11"/>
      <c r="J180" s="11"/>
      <c r="K180" s="11"/>
      <c r="L180" s="11"/>
      <c r="M180" s="11"/>
    </row>
    <row r="181" spans="1:13" ht="40.5" customHeight="1">
      <c r="A181" s="1035"/>
      <c r="B181" s="170" t="s">
        <v>159</v>
      </c>
      <c r="C181" s="169" t="s">
        <v>77</v>
      </c>
      <c r="D181" s="240" t="s">
        <v>78</v>
      </c>
      <c r="E181" s="170" t="s">
        <v>926</v>
      </c>
      <c r="F181" s="171">
        <v>379297</v>
      </c>
      <c r="G181" s="171">
        <v>373557</v>
      </c>
      <c r="H181" s="143">
        <f>(G181-F181)*100/F181</f>
        <v>-1.5133259688318126</v>
      </c>
      <c r="I181" s="11"/>
      <c r="J181" s="11"/>
      <c r="K181" s="11"/>
      <c r="L181" s="11"/>
      <c r="M181" s="11"/>
    </row>
    <row r="182" spans="1:13" ht="9.75" customHeight="1">
      <c r="A182" s="141"/>
      <c r="B182" s="184"/>
      <c r="C182" s="186"/>
      <c r="D182" s="185"/>
      <c r="E182" s="186"/>
      <c r="F182" s="187"/>
      <c r="G182" s="187"/>
      <c r="H182" s="143"/>
      <c r="I182" s="11"/>
      <c r="J182" s="11"/>
      <c r="K182" s="11"/>
      <c r="L182" s="11"/>
      <c r="M182" s="11"/>
    </row>
    <row r="183" spans="1:13" ht="75.75" customHeight="1">
      <c r="A183" s="1033" t="s">
        <v>79</v>
      </c>
      <c r="B183" s="141"/>
      <c r="C183" s="140" t="s">
        <v>253</v>
      </c>
      <c r="D183" s="241"/>
      <c r="E183" s="186"/>
      <c r="F183" s="187"/>
      <c r="G183" s="187"/>
      <c r="H183" s="143"/>
      <c r="I183" s="11"/>
      <c r="J183" s="11"/>
      <c r="K183" s="11"/>
      <c r="L183" s="11"/>
      <c r="M183" s="11"/>
    </row>
    <row r="184" spans="1:13" ht="37.5" customHeight="1">
      <c r="A184" s="1034"/>
      <c r="B184" s="141" t="s">
        <v>15</v>
      </c>
      <c r="C184" s="140" t="s">
        <v>1199</v>
      </c>
      <c r="D184" s="141" t="s">
        <v>254</v>
      </c>
      <c r="E184" s="141" t="s">
        <v>926</v>
      </c>
      <c r="F184" s="142">
        <v>89146</v>
      </c>
      <c r="G184" s="142">
        <v>86714</v>
      </c>
      <c r="H184" s="143">
        <f>(G184-F184)*100/F184</f>
        <v>-2.7281089448769436</v>
      </c>
      <c r="I184" s="11"/>
      <c r="J184" s="11"/>
      <c r="K184" s="11"/>
      <c r="L184" s="11"/>
      <c r="M184" s="11"/>
    </row>
    <row r="185" spans="1:13" ht="38.25" customHeight="1">
      <c r="A185" s="1034"/>
      <c r="B185" s="141" t="s">
        <v>909</v>
      </c>
      <c r="C185" s="140" t="s">
        <v>255</v>
      </c>
      <c r="D185" s="141" t="s">
        <v>256</v>
      </c>
      <c r="E185" s="141" t="s">
        <v>926</v>
      </c>
      <c r="F185" s="142">
        <v>105263</v>
      </c>
      <c r="G185" s="142">
        <v>103139</v>
      </c>
      <c r="H185" s="143">
        <f>(G185-F185)*100/F185</f>
        <v>-2.01780302670454</v>
      </c>
      <c r="I185" s="11"/>
      <c r="J185" s="11"/>
      <c r="K185" s="11"/>
      <c r="L185" s="11"/>
      <c r="M185" s="11"/>
    </row>
    <row r="186" spans="1:13" ht="38.25" customHeight="1">
      <c r="A186" s="1034"/>
      <c r="B186" s="141" t="s">
        <v>158</v>
      </c>
      <c r="C186" s="140" t="s">
        <v>277</v>
      </c>
      <c r="D186" s="141" t="s">
        <v>278</v>
      </c>
      <c r="E186" s="141" t="s">
        <v>926</v>
      </c>
      <c r="F186" s="142">
        <v>123707</v>
      </c>
      <c r="G186" s="142">
        <v>121207</v>
      </c>
      <c r="H186" s="143">
        <f>(G186-F186)*100/F186</f>
        <v>-2.0209042333901883</v>
      </c>
      <c r="I186" s="11"/>
      <c r="J186" s="11"/>
      <c r="K186" s="11"/>
      <c r="L186" s="11"/>
      <c r="M186" s="11"/>
    </row>
    <row r="187" spans="1:13" ht="39" customHeight="1">
      <c r="A187" s="1035"/>
      <c r="B187" s="141" t="s">
        <v>159</v>
      </c>
      <c r="C187" s="140" t="s">
        <v>279</v>
      </c>
      <c r="D187" s="141" t="s">
        <v>280</v>
      </c>
      <c r="E187" s="141" t="s">
        <v>926</v>
      </c>
      <c r="F187" s="142">
        <v>156292</v>
      </c>
      <c r="G187" s="142">
        <v>153161</v>
      </c>
      <c r="H187" s="143">
        <f>(G187-F187)*100/F187</f>
        <v>-2.0033015125534255</v>
      </c>
      <c r="I187" s="11"/>
      <c r="J187" s="11"/>
      <c r="K187" s="11"/>
      <c r="L187" s="11"/>
      <c r="M187" s="11"/>
    </row>
    <row r="188" spans="1:13" ht="11.25" customHeight="1">
      <c r="A188" s="141"/>
      <c r="B188" s="242"/>
      <c r="C188" s="243"/>
      <c r="D188" s="244"/>
      <c r="E188" s="243"/>
      <c r="F188" s="221"/>
      <c r="G188" s="221"/>
      <c r="H188" s="143"/>
      <c r="I188" s="11"/>
      <c r="J188" s="11"/>
      <c r="K188" s="11"/>
      <c r="L188" s="11"/>
      <c r="M188" s="11"/>
    </row>
    <row r="189" spans="1:13" ht="36">
      <c r="A189" s="1033" t="s">
        <v>281</v>
      </c>
      <c r="B189" s="141"/>
      <c r="C189" s="140" t="s">
        <v>282</v>
      </c>
      <c r="D189" s="241"/>
      <c r="E189" s="186"/>
      <c r="F189" s="187"/>
      <c r="G189" s="187"/>
      <c r="H189" s="143"/>
      <c r="I189" s="11"/>
      <c r="J189" s="11"/>
      <c r="K189" s="11"/>
      <c r="L189" s="11"/>
      <c r="M189" s="11"/>
    </row>
    <row r="190" spans="1:13" ht="37.5" customHeight="1">
      <c r="A190" s="1034"/>
      <c r="B190" s="141" t="s">
        <v>15</v>
      </c>
      <c r="C190" s="140" t="s">
        <v>283</v>
      </c>
      <c r="D190" s="141" t="s">
        <v>284</v>
      </c>
      <c r="E190" s="141" t="s">
        <v>926</v>
      </c>
      <c r="F190" s="202">
        <v>19827</v>
      </c>
      <c r="G190" s="202">
        <v>22140</v>
      </c>
      <c r="H190" s="143">
        <f>(G190-F190)*100/F190</f>
        <v>11.665910122560145</v>
      </c>
      <c r="I190" s="11"/>
      <c r="J190" s="11"/>
      <c r="K190" s="11"/>
      <c r="L190" s="11"/>
      <c r="M190" s="11"/>
    </row>
    <row r="191" spans="1:13" ht="37.5" customHeight="1">
      <c r="A191" s="1034"/>
      <c r="B191" s="141" t="s">
        <v>909</v>
      </c>
      <c r="C191" s="140" t="s">
        <v>285</v>
      </c>
      <c r="D191" s="141" t="s">
        <v>286</v>
      </c>
      <c r="E191" s="141" t="s">
        <v>926</v>
      </c>
      <c r="F191" s="202">
        <v>35897</v>
      </c>
      <c r="G191" s="202">
        <v>38302</v>
      </c>
      <c r="H191" s="143">
        <f>(G191-F191)*100/F191</f>
        <v>6.699724210936847</v>
      </c>
      <c r="I191" s="11"/>
      <c r="J191" s="11"/>
      <c r="K191" s="11"/>
      <c r="L191" s="11"/>
      <c r="M191" s="11"/>
    </row>
    <row r="192" spans="1:13" ht="37.5" customHeight="1">
      <c r="A192" s="1034"/>
      <c r="B192" s="141" t="s">
        <v>158</v>
      </c>
      <c r="C192" s="140" t="s">
        <v>287</v>
      </c>
      <c r="D192" s="141" t="s">
        <v>1053</v>
      </c>
      <c r="E192" s="141" t="s">
        <v>926</v>
      </c>
      <c r="F192" s="202">
        <v>45084</v>
      </c>
      <c r="G192" s="202">
        <v>47174</v>
      </c>
      <c r="H192" s="143">
        <f>(G192-F192)*100/F192</f>
        <v>4.635790967970899</v>
      </c>
      <c r="I192" s="11"/>
      <c r="J192" s="11"/>
      <c r="K192" s="11"/>
      <c r="L192" s="11"/>
      <c r="M192" s="11"/>
    </row>
    <row r="193" spans="1:13" ht="37.5" customHeight="1">
      <c r="A193" s="1034"/>
      <c r="B193" s="141" t="s">
        <v>159</v>
      </c>
      <c r="C193" s="140" t="s">
        <v>1054</v>
      </c>
      <c r="D193" s="141" t="s">
        <v>1055</v>
      </c>
      <c r="E193" s="141" t="s">
        <v>926</v>
      </c>
      <c r="F193" s="202">
        <v>76498</v>
      </c>
      <c r="G193" s="202">
        <v>77886</v>
      </c>
      <c r="H193" s="143">
        <f>(G193-F193)*100/F193</f>
        <v>1.8144265209547963</v>
      </c>
      <c r="I193" s="11"/>
      <c r="J193" s="11"/>
      <c r="K193" s="11"/>
      <c r="L193" s="11"/>
      <c r="M193" s="11"/>
    </row>
    <row r="194" spans="1:13" ht="39" customHeight="1">
      <c r="A194" s="1035"/>
      <c r="B194" s="170" t="s">
        <v>160</v>
      </c>
      <c r="C194" s="169" t="s">
        <v>1056</v>
      </c>
      <c r="D194" s="170" t="s">
        <v>1057</v>
      </c>
      <c r="E194" s="170" t="s">
        <v>926</v>
      </c>
      <c r="F194" s="210">
        <v>88994</v>
      </c>
      <c r="G194" s="210">
        <v>90321</v>
      </c>
      <c r="H194" s="143">
        <f>(G194-F194)*100/F194</f>
        <v>1.4911117603433939</v>
      </c>
      <c r="I194" s="11"/>
      <c r="J194" s="11"/>
      <c r="K194" s="11"/>
      <c r="L194" s="11"/>
      <c r="M194" s="11"/>
    </row>
    <row r="195" spans="1:13" ht="9.75" customHeight="1">
      <c r="A195" s="141"/>
      <c r="B195" s="150"/>
      <c r="C195" s="161"/>
      <c r="D195" s="188"/>
      <c r="E195" s="161"/>
      <c r="F195" s="151"/>
      <c r="G195" s="151"/>
      <c r="H195" s="143"/>
      <c r="I195" s="11"/>
      <c r="J195" s="11"/>
      <c r="K195" s="11"/>
      <c r="L195" s="11"/>
      <c r="M195" s="11"/>
    </row>
    <row r="196" spans="1:13" ht="39.75" customHeight="1">
      <c r="A196" s="1036" t="s">
        <v>1058</v>
      </c>
      <c r="B196" s="182"/>
      <c r="C196" s="245" t="s">
        <v>1062</v>
      </c>
      <c r="D196" s="160"/>
      <c r="E196" s="161"/>
      <c r="F196" s="151"/>
      <c r="G196" s="151"/>
      <c r="H196" s="143"/>
      <c r="I196" s="11"/>
      <c r="J196" s="11"/>
      <c r="K196" s="11"/>
      <c r="L196" s="11"/>
      <c r="M196" s="11"/>
    </row>
    <row r="197" spans="1:13" ht="25.5" customHeight="1">
      <c r="A197" s="1036"/>
      <c r="B197" s="141" t="s">
        <v>15</v>
      </c>
      <c r="C197" s="140" t="s">
        <v>538</v>
      </c>
      <c r="D197" s="182" t="s">
        <v>1059</v>
      </c>
      <c r="E197" s="182" t="s">
        <v>926</v>
      </c>
      <c r="F197" s="202">
        <v>119679</v>
      </c>
      <c r="G197" s="202">
        <v>113817</v>
      </c>
      <c r="H197" s="143">
        <f aca="true" t="shared" si="0" ref="H197:H205">(G197-F197)*100/F197</f>
        <v>-4.898102423984158</v>
      </c>
      <c r="I197" s="11"/>
      <c r="J197" s="11"/>
      <c r="K197" s="11"/>
      <c r="L197" s="11"/>
      <c r="M197" s="11"/>
    </row>
    <row r="198" spans="1:13" ht="26.25" customHeight="1">
      <c r="A198" s="1036"/>
      <c r="B198" s="141" t="s">
        <v>909</v>
      </c>
      <c r="C198" s="140" t="s">
        <v>540</v>
      </c>
      <c r="D198" s="141" t="s">
        <v>1105</v>
      </c>
      <c r="E198" s="141" t="s">
        <v>926</v>
      </c>
      <c r="F198" s="142">
        <v>172408</v>
      </c>
      <c r="G198" s="142">
        <v>169440</v>
      </c>
      <c r="H198" s="143">
        <f t="shared" si="0"/>
        <v>-1.7214978423275022</v>
      </c>
      <c r="I198" s="11"/>
      <c r="J198" s="11"/>
      <c r="K198" s="11"/>
      <c r="L198" s="11"/>
      <c r="M198" s="11"/>
    </row>
    <row r="199" spans="1:13" ht="36">
      <c r="A199" s="1036"/>
      <c r="B199" s="141" t="s">
        <v>158</v>
      </c>
      <c r="C199" s="140" t="s">
        <v>542</v>
      </c>
      <c r="D199" s="141" t="s">
        <v>1106</v>
      </c>
      <c r="E199" s="141" t="s">
        <v>926</v>
      </c>
      <c r="F199" s="142">
        <v>249131</v>
      </c>
      <c r="G199" s="142">
        <v>240586</v>
      </c>
      <c r="H199" s="143">
        <f t="shared" si="0"/>
        <v>-3.4299224102981967</v>
      </c>
      <c r="I199" s="11"/>
      <c r="J199" s="11"/>
      <c r="K199" s="11"/>
      <c r="L199" s="11"/>
      <c r="M199" s="11"/>
    </row>
    <row r="200" spans="1:13" ht="42" customHeight="1">
      <c r="A200" s="1036"/>
      <c r="B200" s="141" t="s">
        <v>159</v>
      </c>
      <c r="C200" s="140" t="s">
        <v>1061</v>
      </c>
      <c r="D200" s="141" t="s">
        <v>1107</v>
      </c>
      <c r="E200" s="141" t="s">
        <v>926</v>
      </c>
      <c r="F200" s="142">
        <v>368657</v>
      </c>
      <c r="G200" s="142">
        <v>364826</v>
      </c>
      <c r="H200" s="143">
        <f t="shared" si="0"/>
        <v>-1.0391773382846385</v>
      </c>
      <c r="I200" s="11"/>
      <c r="J200" s="11"/>
      <c r="K200" s="11"/>
      <c r="L200" s="11"/>
      <c r="M200" s="11"/>
    </row>
    <row r="201" spans="1:13" ht="9.75" customHeight="1">
      <c r="A201" s="511"/>
      <c r="B201" s="141"/>
      <c r="C201" s="140"/>
      <c r="D201" s="141"/>
      <c r="E201" s="141"/>
      <c r="F201" s="142"/>
      <c r="G201" s="142"/>
      <c r="H201" s="143"/>
      <c r="I201" s="11"/>
      <c r="J201" s="11"/>
      <c r="K201" s="11"/>
      <c r="L201" s="11"/>
      <c r="M201" s="11"/>
    </row>
    <row r="202" spans="1:13" ht="39" customHeight="1">
      <c r="A202" s="1036" t="s">
        <v>1108</v>
      </c>
      <c r="B202" s="141" t="s">
        <v>160</v>
      </c>
      <c r="C202" s="140" t="s">
        <v>1199</v>
      </c>
      <c r="D202" s="141" t="s">
        <v>1094</v>
      </c>
      <c r="E202" s="141" t="s">
        <v>926</v>
      </c>
      <c r="F202" s="142">
        <v>144069</v>
      </c>
      <c r="G202" s="142">
        <v>137992</v>
      </c>
      <c r="H202" s="143">
        <f t="shared" si="0"/>
        <v>-4.218117707487385</v>
      </c>
      <c r="I202" s="11"/>
      <c r="J202" s="11"/>
      <c r="K202" s="11"/>
      <c r="L202" s="11"/>
      <c r="M202" s="11"/>
    </row>
    <row r="203" spans="1:13" ht="38.25" customHeight="1">
      <c r="A203" s="1036"/>
      <c r="B203" s="141" t="s">
        <v>161</v>
      </c>
      <c r="C203" s="140" t="s">
        <v>255</v>
      </c>
      <c r="D203" s="141" t="s">
        <v>1095</v>
      </c>
      <c r="E203" s="141" t="s">
        <v>926</v>
      </c>
      <c r="F203" s="142">
        <v>196797</v>
      </c>
      <c r="G203" s="142">
        <v>193616</v>
      </c>
      <c r="H203" s="143">
        <f t="shared" si="0"/>
        <v>-1.6163864286549083</v>
      </c>
      <c r="I203" s="11"/>
      <c r="J203" s="11"/>
      <c r="K203" s="11"/>
      <c r="L203" s="11"/>
      <c r="M203" s="11"/>
    </row>
    <row r="204" spans="1:13" ht="37.5" customHeight="1">
      <c r="A204" s="1036"/>
      <c r="B204" s="141" t="s">
        <v>162</v>
      </c>
      <c r="C204" s="140" t="s">
        <v>1096</v>
      </c>
      <c r="D204" s="141" t="s">
        <v>1097</v>
      </c>
      <c r="E204" s="141" t="s">
        <v>926</v>
      </c>
      <c r="F204" s="142">
        <v>249394</v>
      </c>
      <c r="G204" s="142">
        <v>240227</v>
      </c>
      <c r="H204" s="143">
        <f t="shared" si="0"/>
        <v>-3.675709920848136</v>
      </c>
      <c r="I204" s="11"/>
      <c r="J204" s="11"/>
      <c r="K204" s="11"/>
      <c r="L204" s="11"/>
      <c r="M204" s="11"/>
    </row>
    <row r="205" spans="1:13" ht="39" customHeight="1">
      <c r="A205" s="1036"/>
      <c r="B205" s="141" t="s">
        <v>163</v>
      </c>
      <c r="C205" s="140" t="s">
        <v>1098</v>
      </c>
      <c r="D205" s="141" t="s">
        <v>1099</v>
      </c>
      <c r="E205" s="141" t="s">
        <v>926</v>
      </c>
      <c r="F205" s="142">
        <v>369446</v>
      </c>
      <c r="G205" s="142">
        <v>365065</v>
      </c>
      <c r="H205" s="143">
        <f t="shared" si="0"/>
        <v>-1.185829593499456</v>
      </c>
      <c r="I205" s="11"/>
      <c r="J205" s="11"/>
      <c r="K205" s="11"/>
      <c r="L205" s="11"/>
      <c r="M205" s="11"/>
    </row>
    <row r="206" spans="1:13" ht="9.75" customHeight="1">
      <c r="A206" s="511"/>
      <c r="B206" s="141"/>
      <c r="C206" s="140"/>
      <c r="D206" s="141"/>
      <c r="E206" s="141"/>
      <c r="F206" s="142"/>
      <c r="G206" s="142"/>
      <c r="H206" s="143"/>
      <c r="I206" s="11"/>
      <c r="J206" s="11"/>
      <c r="K206" s="11"/>
      <c r="L206" s="11"/>
      <c r="M206" s="11"/>
    </row>
    <row r="207" spans="1:13" ht="54">
      <c r="A207" s="1033" t="s">
        <v>1039</v>
      </c>
      <c r="B207" s="141"/>
      <c r="C207" s="239" t="s">
        <v>1100</v>
      </c>
      <c r="D207" s="246"/>
      <c r="E207" s="112"/>
      <c r="F207" s="158"/>
      <c r="G207" s="158"/>
      <c r="H207" s="143"/>
      <c r="I207" s="11"/>
      <c r="J207" s="11"/>
      <c r="K207" s="11"/>
      <c r="L207" s="11"/>
      <c r="M207" s="11"/>
    </row>
    <row r="208" spans="1:13" ht="18.75" customHeight="1">
      <c r="A208" s="1034"/>
      <c r="B208" s="141" t="s">
        <v>15</v>
      </c>
      <c r="C208" s="140" t="s">
        <v>1219</v>
      </c>
      <c r="D208" s="141" t="s">
        <v>153</v>
      </c>
      <c r="E208" s="141" t="s">
        <v>926</v>
      </c>
      <c r="F208" s="142">
        <v>130670</v>
      </c>
      <c r="G208" s="142">
        <v>132602</v>
      </c>
      <c r="H208" s="143">
        <f>(G208-F208)*100/F208</f>
        <v>1.4785337108747225</v>
      </c>
      <c r="I208" s="11"/>
      <c r="J208" s="47"/>
      <c r="K208" s="11"/>
      <c r="L208" s="11"/>
      <c r="M208" s="11"/>
    </row>
    <row r="209" spans="1:13" ht="18.75" customHeight="1">
      <c r="A209" s="1034"/>
      <c r="B209" s="141" t="s">
        <v>909</v>
      </c>
      <c r="C209" s="140" t="s">
        <v>1220</v>
      </c>
      <c r="D209" s="141" t="s">
        <v>154</v>
      </c>
      <c r="E209" s="141" t="s">
        <v>926</v>
      </c>
      <c r="F209" s="142">
        <v>209641</v>
      </c>
      <c r="G209" s="142">
        <v>208698</v>
      </c>
      <c r="H209" s="143">
        <f>(G209-F209)*100/F209</f>
        <v>-0.4498165912202289</v>
      </c>
      <c r="I209" s="11"/>
      <c r="J209" s="47"/>
      <c r="K209" s="11"/>
      <c r="L209" s="11"/>
      <c r="M209" s="11"/>
    </row>
    <row r="210" spans="1:13" ht="18.75" customHeight="1">
      <c r="A210" s="1035"/>
      <c r="B210" s="141" t="s">
        <v>158</v>
      </c>
      <c r="C210" s="140" t="s">
        <v>389</v>
      </c>
      <c r="D210" s="141" t="s">
        <v>155</v>
      </c>
      <c r="E210" s="141" t="s">
        <v>926</v>
      </c>
      <c r="F210" s="142">
        <v>339624</v>
      </c>
      <c r="G210" s="142">
        <v>342792</v>
      </c>
      <c r="H210" s="143">
        <f>(G210-F210)*100/F210</f>
        <v>0.9327962688149247</v>
      </c>
      <c r="I210" s="11"/>
      <c r="J210" s="47"/>
      <c r="K210" s="11"/>
      <c r="L210" s="11"/>
      <c r="M210" s="11"/>
    </row>
    <row r="211" spans="1:13" ht="36">
      <c r="A211" s="513" t="s">
        <v>1044</v>
      </c>
      <c r="B211" s="141" t="s">
        <v>15</v>
      </c>
      <c r="C211" s="140" t="s">
        <v>156</v>
      </c>
      <c r="D211" s="141" t="s">
        <v>157</v>
      </c>
      <c r="E211" s="141" t="s">
        <v>926</v>
      </c>
      <c r="F211" s="142">
        <v>115010</v>
      </c>
      <c r="G211" s="142">
        <v>112364</v>
      </c>
      <c r="H211" s="143">
        <f>(G211-F211)*100/F211</f>
        <v>-2.3006695069993914</v>
      </c>
      <c r="I211" s="11"/>
      <c r="J211" s="47"/>
      <c r="K211" s="11"/>
      <c r="L211" s="11"/>
      <c r="M211" s="11"/>
    </row>
    <row r="212" spans="1:13" ht="54">
      <c r="A212" s="1033" t="s">
        <v>1050</v>
      </c>
      <c r="B212" s="141"/>
      <c r="C212" s="239" t="s">
        <v>120</v>
      </c>
      <c r="D212" s="246"/>
      <c r="E212" s="112"/>
      <c r="F212" s="158"/>
      <c r="G212" s="158"/>
      <c r="H212" s="143"/>
      <c r="I212" s="11"/>
      <c r="J212" s="11"/>
      <c r="K212" s="11"/>
      <c r="L212" s="11"/>
      <c r="M212" s="11"/>
    </row>
    <row r="213" spans="1:13" ht="20.25">
      <c r="A213" s="1035"/>
      <c r="B213" s="141" t="s">
        <v>15</v>
      </c>
      <c r="C213" s="140" t="s">
        <v>1305</v>
      </c>
      <c r="D213" s="141" t="s">
        <v>920</v>
      </c>
      <c r="E213" s="141" t="s">
        <v>926</v>
      </c>
      <c r="F213" s="142">
        <v>92936</v>
      </c>
      <c r="G213" s="142">
        <v>93434</v>
      </c>
      <c r="H213" s="143">
        <f>(G213-F213)*100/F213</f>
        <v>0.5358526297667212</v>
      </c>
      <c r="I213" s="11"/>
      <c r="J213" s="101"/>
      <c r="K213" s="101"/>
      <c r="L213" s="101"/>
      <c r="M213" s="101"/>
    </row>
    <row r="214" spans="1:13" ht="36">
      <c r="A214" s="1033" t="s">
        <v>300</v>
      </c>
      <c r="B214" s="141"/>
      <c r="C214" s="239" t="s">
        <v>921</v>
      </c>
      <c r="D214" s="247"/>
      <c r="E214" s="112"/>
      <c r="F214" s="248"/>
      <c r="G214" s="248"/>
      <c r="H214" s="143"/>
      <c r="I214" s="11"/>
      <c r="J214" s="11"/>
      <c r="K214" s="11"/>
      <c r="L214" s="11"/>
      <c r="M214" s="11"/>
    </row>
    <row r="215" spans="1:13" ht="18">
      <c r="A215" s="1034"/>
      <c r="B215" s="141" t="s">
        <v>15</v>
      </c>
      <c r="C215" s="140" t="s">
        <v>285</v>
      </c>
      <c r="D215" s="141" t="s">
        <v>922</v>
      </c>
      <c r="E215" s="141" t="s">
        <v>926</v>
      </c>
      <c r="F215" s="142">
        <v>223352</v>
      </c>
      <c r="G215" s="142">
        <v>211937</v>
      </c>
      <c r="H215" s="143">
        <f>(G215-F215)*100/F215</f>
        <v>-5.110766861277266</v>
      </c>
      <c r="I215" s="11"/>
      <c r="J215" s="11"/>
      <c r="K215" s="11"/>
      <c r="L215" s="11"/>
      <c r="M215" s="11"/>
    </row>
    <row r="216" spans="1:13" ht="18">
      <c r="A216" s="1034"/>
      <c r="B216" s="141" t="s">
        <v>909</v>
      </c>
      <c r="C216" s="140" t="s">
        <v>287</v>
      </c>
      <c r="D216" s="141" t="s">
        <v>923</v>
      </c>
      <c r="E216" s="141" t="s">
        <v>926</v>
      </c>
      <c r="F216" s="142">
        <v>277122</v>
      </c>
      <c r="G216" s="142">
        <v>258939</v>
      </c>
      <c r="H216" s="143">
        <f>(G216-F216)*100/F216</f>
        <v>-6.561370082490744</v>
      </c>
      <c r="I216" s="11"/>
      <c r="J216" s="11"/>
      <c r="K216" s="11"/>
      <c r="L216" s="11"/>
      <c r="M216" s="11"/>
    </row>
    <row r="217" spans="1:13" ht="18">
      <c r="A217" s="1035"/>
      <c r="B217" s="141" t="s">
        <v>158</v>
      </c>
      <c r="C217" s="140" t="s">
        <v>1054</v>
      </c>
      <c r="D217" s="141" t="s">
        <v>924</v>
      </c>
      <c r="E217" s="141" t="s">
        <v>926</v>
      </c>
      <c r="F217" s="142">
        <v>427457</v>
      </c>
      <c r="G217" s="142">
        <v>412870</v>
      </c>
      <c r="H217" s="143">
        <f>(G217-F217)*100/F217</f>
        <v>-3.4125069890070816</v>
      </c>
      <c r="I217" s="11"/>
      <c r="J217" s="11"/>
      <c r="K217" s="11"/>
      <c r="L217" s="11"/>
      <c r="M217" s="11"/>
    </row>
    <row r="218" spans="1:13" ht="9.75" customHeight="1">
      <c r="A218" s="249"/>
      <c r="B218" s="203"/>
      <c r="C218" s="204"/>
      <c r="D218" s="205"/>
      <c r="E218" s="204"/>
      <c r="F218" s="206"/>
      <c r="G218" s="206"/>
      <c r="H218" s="159"/>
      <c r="I218" s="100"/>
      <c r="J218" s="100"/>
      <c r="K218" s="100"/>
      <c r="L218" s="100"/>
      <c r="M218" s="100"/>
    </row>
    <row r="219" spans="1:13" ht="18">
      <c r="A219" s="1040" t="s">
        <v>925</v>
      </c>
      <c r="B219" s="1041"/>
      <c r="C219" s="1041"/>
      <c r="D219" s="219"/>
      <c r="E219" s="220"/>
      <c r="F219" s="221"/>
      <c r="G219" s="221"/>
      <c r="H219" s="159"/>
      <c r="I219" s="11"/>
      <c r="J219" s="11"/>
      <c r="K219" s="11"/>
      <c r="L219" s="11"/>
      <c r="M219" s="11"/>
    </row>
    <row r="220" spans="1:13" ht="54">
      <c r="A220" s="1033" t="s">
        <v>388</v>
      </c>
      <c r="B220" s="140"/>
      <c r="C220" s="239" t="s">
        <v>889</v>
      </c>
      <c r="D220" s="250"/>
      <c r="E220" s="190"/>
      <c r="F220" s="187"/>
      <c r="G220" s="187"/>
      <c r="H220" s="143"/>
      <c r="I220" s="11"/>
      <c r="J220" s="11"/>
      <c r="K220" s="11"/>
      <c r="L220" s="11"/>
      <c r="M220" s="11"/>
    </row>
    <row r="221" spans="1:13" ht="9.75" customHeight="1">
      <c r="A221" s="1034"/>
      <c r="B221" s="152"/>
      <c r="C221" s="153"/>
      <c r="D221" s="154"/>
      <c r="E221" s="153"/>
      <c r="F221" s="155"/>
      <c r="G221" s="155"/>
      <c r="H221" s="143"/>
      <c r="I221" s="11"/>
      <c r="J221" s="11"/>
      <c r="K221" s="11"/>
      <c r="L221" s="11"/>
      <c r="M221" s="11"/>
    </row>
    <row r="222" spans="1:13" ht="18">
      <c r="A222" s="1034"/>
      <c r="B222" s="141" t="s">
        <v>15</v>
      </c>
      <c r="C222" s="140" t="s">
        <v>890</v>
      </c>
      <c r="D222" s="141" t="s">
        <v>891</v>
      </c>
      <c r="E222" s="141" t="s">
        <v>1035</v>
      </c>
      <c r="F222" s="142">
        <v>265563</v>
      </c>
      <c r="G222" s="142">
        <v>268958</v>
      </c>
      <c r="H222" s="143">
        <f>(G222-F222)*100/F222</f>
        <v>1.2784160444037762</v>
      </c>
      <c r="I222" s="11"/>
      <c r="J222" s="11"/>
      <c r="K222" s="11"/>
      <c r="L222" s="11"/>
      <c r="M222" s="11"/>
    </row>
    <row r="223" spans="1:13" ht="18">
      <c r="A223" s="1034"/>
      <c r="B223" s="141" t="s">
        <v>909</v>
      </c>
      <c r="C223" s="140" t="s">
        <v>892</v>
      </c>
      <c r="D223" s="141" t="s">
        <v>893</v>
      </c>
      <c r="E223" s="141" t="s">
        <v>1035</v>
      </c>
      <c r="F223" s="142">
        <v>245947</v>
      </c>
      <c r="G223" s="142">
        <v>250089</v>
      </c>
      <c r="H223" s="143">
        <f>(G223-F223)*100/F223</f>
        <v>1.6841026725270078</v>
      </c>
      <c r="I223" s="11"/>
      <c r="J223" s="11"/>
      <c r="K223" s="11"/>
      <c r="L223" s="11"/>
      <c r="M223" s="11"/>
    </row>
    <row r="224" spans="1:13" ht="18">
      <c r="A224" s="1034"/>
      <c r="B224" s="141" t="s">
        <v>158</v>
      </c>
      <c r="C224" s="140" t="s">
        <v>894</v>
      </c>
      <c r="D224" s="141" t="s">
        <v>895</v>
      </c>
      <c r="E224" s="141" t="s">
        <v>1035</v>
      </c>
      <c r="F224" s="142">
        <v>213106</v>
      </c>
      <c r="G224" s="142">
        <v>218059</v>
      </c>
      <c r="H224" s="143">
        <f>(G224-F224)*100/F224</f>
        <v>2.32419547079857</v>
      </c>
      <c r="I224" s="11"/>
      <c r="J224" s="11"/>
      <c r="K224" s="11"/>
      <c r="L224" s="11"/>
      <c r="M224" s="11"/>
    </row>
    <row r="225" spans="1:13" ht="18">
      <c r="A225" s="1034"/>
      <c r="B225" s="141" t="s">
        <v>159</v>
      </c>
      <c r="C225" s="140" t="s">
        <v>943</v>
      </c>
      <c r="D225" s="141" t="s">
        <v>944</v>
      </c>
      <c r="E225" s="141" t="s">
        <v>1035</v>
      </c>
      <c r="F225" s="142">
        <v>206605</v>
      </c>
      <c r="G225" s="142">
        <v>211915</v>
      </c>
      <c r="H225" s="143">
        <f>(G225-F225)*100/F225</f>
        <v>2.5701217298710097</v>
      </c>
      <c r="I225" s="11"/>
      <c r="J225" s="11"/>
      <c r="K225" s="11"/>
      <c r="L225" s="11"/>
      <c r="M225" s="11"/>
    </row>
    <row r="226" spans="1:13" ht="18">
      <c r="A226" s="1035"/>
      <c r="B226" s="170" t="s">
        <v>160</v>
      </c>
      <c r="C226" s="169" t="s">
        <v>933</v>
      </c>
      <c r="D226" s="170" t="s">
        <v>934</v>
      </c>
      <c r="E226" s="170" t="s">
        <v>1035</v>
      </c>
      <c r="F226" s="171">
        <v>187100</v>
      </c>
      <c r="G226" s="171">
        <v>193485</v>
      </c>
      <c r="H226" s="143">
        <f>(G226-F226)*100/F226</f>
        <v>3.4126135756280065</v>
      </c>
      <c r="I226" s="11"/>
      <c r="J226" s="11"/>
      <c r="K226" s="11"/>
      <c r="L226" s="11"/>
      <c r="M226" s="11"/>
    </row>
    <row r="227" spans="1:13" ht="9.75" customHeight="1">
      <c r="A227" s="251"/>
      <c r="B227" s="212"/>
      <c r="C227" s="213"/>
      <c r="D227" s="252"/>
      <c r="E227" s="213"/>
      <c r="F227" s="253"/>
      <c r="G227" s="253"/>
      <c r="H227" s="143"/>
      <c r="I227" s="100"/>
      <c r="J227" s="100"/>
      <c r="K227" s="100"/>
      <c r="L227" s="100"/>
      <c r="M227" s="100"/>
    </row>
    <row r="228" spans="1:13" ht="54">
      <c r="A228" s="1033" t="s">
        <v>1039</v>
      </c>
      <c r="B228" s="140"/>
      <c r="C228" s="239" t="s">
        <v>935</v>
      </c>
      <c r="D228" s="250"/>
      <c r="E228" s="190"/>
      <c r="F228" s="187"/>
      <c r="G228" s="187"/>
      <c r="H228" s="143"/>
      <c r="I228" s="11"/>
      <c r="J228" s="11"/>
      <c r="K228" s="11"/>
      <c r="L228" s="11"/>
      <c r="M228" s="11"/>
    </row>
    <row r="229" spans="1:13" ht="18">
      <c r="A229" s="1034"/>
      <c r="B229" s="152"/>
      <c r="C229" s="153"/>
      <c r="D229" s="154"/>
      <c r="E229" s="153"/>
      <c r="F229" s="155"/>
      <c r="G229" s="155"/>
      <c r="H229" s="143"/>
      <c r="I229" s="11"/>
      <c r="J229" s="11"/>
      <c r="K229" s="11"/>
      <c r="L229" s="11"/>
      <c r="M229" s="11"/>
    </row>
    <row r="230" spans="1:13" ht="18">
      <c r="A230" s="1034"/>
      <c r="B230" s="141" t="s">
        <v>15</v>
      </c>
      <c r="C230" s="140" t="s">
        <v>936</v>
      </c>
      <c r="D230" s="141" t="s">
        <v>937</v>
      </c>
      <c r="E230" s="141" t="s">
        <v>1035</v>
      </c>
      <c r="F230" s="142">
        <v>228470</v>
      </c>
      <c r="G230" s="142">
        <v>231205</v>
      </c>
      <c r="H230" s="143">
        <f>(G230-F230)*100/F230</f>
        <v>1.1970937103339607</v>
      </c>
      <c r="I230" s="11"/>
      <c r="J230" s="11"/>
      <c r="K230" s="11"/>
      <c r="L230" s="11"/>
      <c r="M230" s="11"/>
    </row>
    <row r="231" spans="1:13" ht="18">
      <c r="A231" s="1034"/>
      <c r="B231" s="141" t="s">
        <v>909</v>
      </c>
      <c r="C231" s="140" t="s">
        <v>938</v>
      </c>
      <c r="D231" s="141" t="s">
        <v>939</v>
      </c>
      <c r="E231" s="141" t="s">
        <v>1035</v>
      </c>
      <c r="F231" s="142">
        <v>189127</v>
      </c>
      <c r="G231" s="142">
        <v>193031</v>
      </c>
      <c r="H231" s="143">
        <f>(G231-F231)*100/F231</f>
        <v>2.0642213962046667</v>
      </c>
      <c r="I231" s="11"/>
      <c r="J231" s="11"/>
      <c r="K231" s="11"/>
      <c r="L231" s="11"/>
      <c r="M231" s="11"/>
    </row>
    <row r="232" spans="1:13" ht="18">
      <c r="A232" s="1035"/>
      <c r="B232" s="170" t="s">
        <v>158</v>
      </c>
      <c r="C232" s="169" t="s">
        <v>940</v>
      </c>
      <c r="D232" s="170" t="s">
        <v>941</v>
      </c>
      <c r="E232" s="170" t="s">
        <v>1035</v>
      </c>
      <c r="F232" s="171">
        <v>169622</v>
      </c>
      <c r="G232" s="171">
        <v>174601</v>
      </c>
      <c r="H232" s="143">
        <f>(G232-F232)*100/F232</f>
        <v>2.935350367287262</v>
      </c>
      <c r="I232" s="11"/>
      <c r="J232" s="11"/>
      <c r="K232" s="11"/>
      <c r="L232" s="11"/>
      <c r="M232" s="11"/>
    </row>
    <row r="233" spans="1:13" ht="9.75" customHeight="1">
      <c r="A233" s="195"/>
      <c r="B233" s="212"/>
      <c r="C233" s="213"/>
      <c r="D233" s="214"/>
      <c r="E233" s="213"/>
      <c r="F233" s="215"/>
      <c r="G233" s="215"/>
      <c r="H233" s="143"/>
      <c r="I233" s="100"/>
      <c r="J233" s="100"/>
      <c r="K233" s="100"/>
      <c r="L233" s="100"/>
      <c r="M233" s="100"/>
    </row>
    <row r="234" spans="1:13" ht="54">
      <c r="A234" s="1037" t="s">
        <v>1044</v>
      </c>
      <c r="B234" s="140"/>
      <c r="C234" s="239" t="s">
        <v>942</v>
      </c>
      <c r="D234" s="250"/>
      <c r="E234" s="190"/>
      <c r="F234" s="187"/>
      <c r="G234" s="187"/>
      <c r="H234" s="143"/>
      <c r="I234" s="11"/>
      <c r="J234" s="11"/>
      <c r="K234" s="11"/>
      <c r="L234" s="11"/>
      <c r="M234" s="11"/>
    </row>
    <row r="235" spans="1:13" ht="18">
      <c r="A235" s="1038"/>
      <c r="B235" s="152"/>
      <c r="C235" s="153"/>
      <c r="D235" s="154"/>
      <c r="E235" s="153"/>
      <c r="F235" s="155"/>
      <c r="G235" s="155"/>
      <c r="H235" s="143"/>
      <c r="I235" s="11"/>
      <c r="J235" s="11"/>
      <c r="K235" s="11"/>
      <c r="L235" s="11"/>
      <c r="M235" s="11"/>
    </row>
    <row r="236" spans="1:13" ht="18">
      <c r="A236" s="1038"/>
      <c r="B236" s="141" t="s">
        <v>15</v>
      </c>
      <c r="C236" s="140" t="s">
        <v>1011</v>
      </c>
      <c r="D236" s="141" t="s">
        <v>1012</v>
      </c>
      <c r="E236" s="141" t="s">
        <v>1035</v>
      </c>
      <c r="F236" s="142">
        <v>177557</v>
      </c>
      <c r="G236" s="142">
        <v>179745</v>
      </c>
      <c r="H236" s="143">
        <f>(G236-F236)*100/F236</f>
        <v>1.2322803381449337</v>
      </c>
      <c r="I236" s="11"/>
      <c r="J236" s="11"/>
      <c r="K236" s="11"/>
      <c r="L236" s="11"/>
      <c r="M236" s="11"/>
    </row>
    <row r="237" spans="1:13" ht="18">
      <c r="A237" s="1038"/>
      <c r="B237" s="141" t="s">
        <v>909</v>
      </c>
      <c r="C237" s="140" t="s">
        <v>1013</v>
      </c>
      <c r="D237" s="141" t="s">
        <v>1014</v>
      </c>
      <c r="E237" s="141" t="s">
        <v>1035</v>
      </c>
      <c r="F237" s="142">
        <v>164442</v>
      </c>
      <c r="G237" s="142">
        <v>167020</v>
      </c>
      <c r="H237" s="143">
        <f>(G237-F237)*100/F237</f>
        <v>1.567726006737938</v>
      </c>
      <c r="I237" s="11"/>
      <c r="J237" s="11"/>
      <c r="K237" s="11"/>
      <c r="L237" s="11"/>
      <c r="M237" s="11"/>
    </row>
    <row r="238" spans="1:13" ht="18">
      <c r="A238" s="1039"/>
      <c r="B238" s="170" t="s">
        <v>158</v>
      </c>
      <c r="C238" s="169" t="s">
        <v>1015</v>
      </c>
      <c r="D238" s="170" t="s">
        <v>1016</v>
      </c>
      <c r="E238" s="170" t="s">
        <v>1035</v>
      </c>
      <c r="F238" s="171">
        <v>151439</v>
      </c>
      <c r="G238" s="171">
        <v>154733</v>
      </c>
      <c r="H238" s="143">
        <f>(G238-F238)*100/F238</f>
        <v>2.175133221957356</v>
      </c>
      <c r="I238" s="11"/>
      <c r="J238" s="11"/>
      <c r="K238" s="11"/>
      <c r="L238" s="11"/>
      <c r="M238" s="11"/>
    </row>
    <row r="239" spans="1:13" ht="9.75" customHeight="1">
      <c r="A239" s="195"/>
      <c r="B239" s="212"/>
      <c r="C239" s="213"/>
      <c r="D239" s="214"/>
      <c r="E239" s="213"/>
      <c r="F239" s="215"/>
      <c r="G239" s="215"/>
      <c r="H239" s="143"/>
      <c r="I239" s="100"/>
      <c r="J239" s="100"/>
      <c r="K239" s="100"/>
      <c r="L239" s="100"/>
      <c r="M239" s="100"/>
    </row>
    <row r="240" spans="1:13" ht="54">
      <c r="A240" s="513" t="s">
        <v>1050</v>
      </c>
      <c r="B240" s="208"/>
      <c r="C240" s="208" t="s">
        <v>530</v>
      </c>
      <c r="D240" s="209" t="s">
        <v>418</v>
      </c>
      <c r="E240" s="209" t="s">
        <v>1035</v>
      </c>
      <c r="F240" s="210">
        <v>362955</v>
      </c>
      <c r="G240" s="210">
        <v>360452</v>
      </c>
      <c r="H240" s="143">
        <f>(G240-F240)*100/F240</f>
        <v>-0.6896171701726109</v>
      </c>
      <c r="I240" s="11"/>
      <c r="J240" s="11"/>
      <c r="K240" s="11"/>
      <c r="L240" s="11"/>
      <c r="M240" s="11"/>
    </row>
    <row r="241" spans="1:13" ht="9.75" customHeight="1">
      <c r="A241" s="141"/>
      <c r="B241" s="150"/>
      <c r="C241" s="161"/>
      <c r="D241" s="188"/>
      <c r="E241" s="161"/>
      <c r="F241" s="151"/>
      <c r="G241" s="151"/>
      <c r="H241" s="143"/>
      <c r="I241" s="11"/>
      <c r="J241" s="11"/>
      <c r="K241" s="11"/>
      <c r="L241" s="11"/>
      <c r="M241" s="11"/>
    </row>
    <row r="242" spans="1:13" ht="54">
      <c r="A242" s="513" t="s">
        <v>300</v>
      </c>
      <c r="B242" s="208"/>
      <c r="C242" s="208" t="s">
        <v>419</v>
      </c>
      <c r="D242" s="209" t="s">
        <v>420</v>
      </c>
      <c r="E242" s="209" t="s">
        <v>1035</v>
      </c>
      <c r="F242" s="210">
        <v>395690</v>
      </c>
      <c r="G242" s="210">
        <v>395890</v>
      </c>
      <c r="H242" s="143">
        <f>(G242-F242)*100/F242</f>
        <v>0.05054461826177058</v>
      </c>
      <c r="I242" s="11"/>
      <c r="J242" s="11"/>
      <c r="K242" s="11"/>
      <c r="L242" s="11"/>
      <c r="M242" s="11"/>
    </row>
    <row r="243" spans="1:13" ht="9.75" customHeight="1">
      <c r="A243" s="141"/>
      <c r="B243" s="150"/>
      <c r="C243" s="161"/>
      <c r="D243" s="188"/>
      <c r="E243" s="161"/>
      <c r="F243" s="151"/>
      <c r="G243" s="151"/>
      <c r="H243" s="143"/>
      <c r="I243" s="11"/>
      <c r="J243" s="11"/>
      <c r="K243" s="11"/>
      <c r="L243" s="11"/>
      <c r="M243" s="11"/>
    </row>
    <row r="244" spans="1:13" ht="54">
      <c r="A244" s="1033" t="s">
        <v>392</v>
      </c>
      <c r="B244" s="140"/>
      <c r="C244" s="239" t="s">
        <v>421</v>
      </c>
      <c r="D244" s="250"/>
      <c r="E244" s="190"/>
      <c r="F244" s="187"/>
      <c r="G244" s="187"/>
      <c r="H244" s="143"/>
      <c r="I244" s="11"/>
      <c r="J244" s="11"/>
      <c r="K244" s="11"/>
      <c r="L244" s="11"/>
      <c r="M244" s="11"/>
    </row>
    <row r="245" spans="1:13" ht="9.75" customHeight="1">
      <c r="A245" s="1034"/>
      <c r="B245" s="150"/>
      <c r="C245" s="161"/>
      <c r="D245" s="188"/>
      <c r="E245" s="161"/>
      <c r="F245" s="151"/>
      <c r="G245" s="151"/>
      <c r="H245" s="143"/>
      <c r="I245" s="11"/>
      <c r="J245" s="11"/>
      <c r="K245" s="11"/>
      <c r="L245" s="11"/>
      <c r="M245" s="11"/>
    </row>
    <row r="246" spans="1:13" ht="18">
      <c r="A246" s="1034"/>
      <c r="B246" s="182" t="s">
        <v>15</v>
      </c>
      <c r="C246" s="201" t="s">
        <v>1011</v>
      </c>
      <c r="D246" s="182" t="s">
        <v>422</v>
      </c>
      <c r="E246" s="182" t="s">
        <v>1035</v>
      </c>
      <c r="F246" s="202">
        <v>261626</v>
      </c>
      <c r="G246" s="202">
        <v>254915</v>
      </c>
      <c r="H246" s="143">
        <f>(G246-F246)*100/F246</f>
        <v>-2.565112030149909</v>
      </c>
      <c r="I246" s="11"/>
      <c r="J246" s="11"/>
      <c r="K246" s="11"/>
      <c r="L246" s="11"/>
      <c r="M246" s="11"/>
    </row>
    <row r="247" spans="1:13" ht="18">
      <c r="A247" s="1034"/>
      <c r="B247" s="141" t="s">
        <v>909</v>
      </c>
      <c r="C247" s="140" t="s">
        <v>1013</v>
      </c>
      <c r="D247" s="141" t="s">
        <v>467</v>
      </c>
      <c r="E247" s="141" t="s">
        <v>1035</v>
      </c>
      <c r="F247" s="142">
        <v>248512</v>
      </c>
      <c r="G247" s="142">
        <v>242190</v>
      </c>
      <c r="H247" s="143">
        <f>(G247-F247)*100/F247</f>
        <v>-2.543941540046356</v>
      </c>
      <c r="I247" s="11"/>
      <c r="J247" s="11"/>
      <c r="K247" s="11"/>
      <c r="L247" s="11"/>
      <c r="M247" s="11"/>
    </row>
    <row r="248" spans="1:13" ht="18">
      <c r="A248" s="1035"/>
      <c r="B248" s="170" t="s">
        <v>158</v>
      </c>
      <c r="C248" s="169" t="s">
        <v>1015</v>
      </c>
      <c r="D248" s="170" t="s">
        <v>468</v>
      </c>
      <c r="E248" s="170" t="s">
        <v>1035</v>
      </c>
      <c r="F248" s="171">
        <v>235509</v>
      </c>
      <c r="G248" s="171">
        <v>229904</v>
      </c>
      <c r="H248" s="143">
        <f>(G248-F248)*100/F248</f>
        <v>-2.379951509284146</v>
      </c>
      <c r="I248" s="11"/>
      <c r="J248" s="11"/>
      <c r="K248" s="11"/>
      <c r="L248" s="11"/>
      <c r="M248" s="11"/>
    </row>
    <row r="249" spans="1:13" ht="9.75" customHeight="1">
      <c r="A249" s="141"/>
      <c r="B249" s="150"/>
      <c r="C249" s="161"/>
      <c r="D249" s="188"/>
      <c r="E249" s="161"/>
      <c r="F249" s="151"/>
      <c r="G249" s="151"/>
      <c r="H249" s="143"/>
      <c r="I249" s="11"/>
      <c r="J249" s="11"/>
      <c r="K249" s="11"/>
      <c r="L249" s="11"/>
      <c r="M249" s="11"/>
    </row>
    <row r="250" spans="1:13" ht="39.75" customHeight="1">
      <c r="A250" s="1036" t="s">
        <v>395</v>
      </c>
      <c r="B250" s="141"/>
      <c r="C250" s="239" t="s">
        <v>1269</v>
      </c>
      <c r="D250" s="160"/>
      <c r="E250" s="161"/>
      <c r="F250" s="151"/>
      <c r="G250" s="151"/>
      <c r="H250" s="143"/>
      <c r="I250" s="11"/>
      <c r="J250" s="11"/>
      <c r="K250" s="11"/>
      <c r="L250" s="11"/>
      <c r="M250" s="11"/>
    </row>
    <row r="251" spans="1:13" ht="36">
      <c r="A251" s="1036"/>
      <c r="B251" s="182" t="s">
        <v>15</v>
      </c>
      <c r="C251" s="201" t="s">
        <v>1270</v>
      </c>
      <c r="D251" s="182" t="s">
        <v>1271</v>
      </c>
      <c r="E251" s="182" t="s">
        <v>1035</v>
      </c>
      <c r="F251" s="202">
        <v>339492</v>
      </c>
      <c r="G251" s="560" t="s">
        <v>266</v>
      </c>
      <c r="H251" s="143"/>
      <c r="I251" s="11"/>
      <c r="J251" s="11"/>
      <c r="K251" s="11"/>
      <c r="L251" s="11"/>
      <c r="M251" s="11"/>
    </row>
    <row r="252" spans="1:13" ht="36">
      <c r="A252" s="1036"/>
      <c r="B252" s="141" t="s">
        <v>909</v>
      </c>
      <c r="C252" s="140" t="s">
        <v>716</v>
      </c>
      <c r="D252" s="209" t="s">
        <v>1272</v>
      </c>
      <c r="E252" s="170" t="s">
        <v>1035</v>
      </c>
      <c r="F252" s="171">
        <v>273723</v>
      </c>
      <c r="G252" s="171">
        <v>264172</v>
      </c>
      <c r="H252" s="143">
        <f>(G252-F252)*100/F252</f>
        <v>-3.489293921226934</v>
      </c>
      <c r="I252" s="11"/>
      <c r="J252" s="11"/>
      <c r="K252" s="11"/>
      <c r="L252" s="11"/>
      <c r="M252" s="11"/>
    </row>
    <row r="253" spans="1:13" ht="54">
      <c r="A253" s="1036"/>
      <c r="B253" s="141"/>
      <c r="C253" s="239" t="s">
        <v>1273</v>
      </c>
      <c r="D253" s="160"/>
      <c r="E253" s="161"/>
      <c r="F253" s="151"/>
      <c r="G253" s="151"/>
      <c r="H253" s="143"/>
      <c r="I253" s="11"/>
      <c r="J253" s="11"/>
      <c r="K253" s="11"/>
      <c r="L253" s="11"/>
      <c r="M253" s="11"/>
    </row>
    <row r="254" spans="1:13" ht="36">
      <c r="A254" s="1036"/>
      <c r="B254" s="141" t="s">
        <v>15</v>
      </c>
      <c r="C254" s="140" t="s">
        <v>1270</v>
      </c>
      <c r="D254" s="182" t="s">
        <v>1274</v>
      </c>
      <c r="E254" s="182" t="s">
        <v>1035</v>
      </c>
      <c r="F254" s="202">
        <v>461479</v>
      </c>
      <c r="G254" s="560" t="s">
        <v>266</v>
      </c>
      <c r="H254" s="143"/>
      <c r="I254" s="11"/>
      <c r="J254" s="11"/>
      <c r="K254" s="11"/>
      <c r="L254" s="11"/>
      <c r="M254" s="11"/>
    </row>
    <row r="255" spans="1:13" ht="36">
      <c r="A255" s="1036"/>
      <c r="B255" s="141" t="s">
        <v>909</v>
      </c>
      <c r="C255" s="140" t="s">
        <v>716</v>
      </c>
      <c r="D255" s="209" t="s">
        <v>1275</v>
      </c>
      <c r="E255" s="170" t="s">
        <v>1035</v>
      </c>
      <c r="F255" s="171">
        <v>395711</v>
      </c>
      <c r="G255" s="171">
        <v>387798</v>
      </c>
      <c r="H255" s="143">
        <f>(G255-F255)*100/F255</f>
        <v>-1.9996916941909626</v>
      </c>
      <c r="I255" s="11"/>
      <c r="J255" s="11"/>
      <c r="K255" s="11"/>
      <c r="L255" s="11"/>
      <c r="M255" s="11"/>
    </row>
    <row r="256" spans="1:13" ht="58.5" customHeight="1">
      <c r="A256" s="1036"/>
      <c r="B256" s="141"/>
      <c r="C256" s="239" t="s">
        <v>1283</v>
      </c>
      <c r="D256" s="160"/>
      <c r="E256" s="161"/>
      <c r="F256" s="151"/>
      <c r="G256" s="151"/>
      <c r="H256" s="143"/>
      <c r="I256" s="11"/>
      <c r="J256" s="11"/>
      <c r="K256" s="11"/>
      <c r="L256" s="11"/>
      <c r="M256" s="11"/>
    </row>
    <row r="257" spans="1:13" ht="36">
      <c r="A257" s="1036"/>
      <c r="B257" s="141" t="s">
        <v>15</v>
      </c>
      <c r="C257" s="140" t="s">
        <v>1270</v>
      </c>
      <c r="D257" s="182" t="s">
        <v>1276</v>
      </c>
      <c r="E257" s="182" t="s">
        <v>1035</v>
      </c>
      <c r="F257" s="202">
        <v>589306</v>
      </c>
      <c r="G257" s="560" t="s">
        <v>266</v>
      </c>
      <c r="H257" s="143"/>
      <c r="I257" s="11"/>
      <c r="J257" s="11"/>
      <c r="K257" s="11"/>
      <c r="L257" s="11"/>
      <c r="M257" s="11"/>
    </row>
    <row r="258" spans="1:13" ht="36">
      <c r="A258" s="1036"/>
      <c r="B258" s="141" t="s">
        <v>909</v>
      </c>
      <c r="C258" s="140" t="s">
        <v>716</v>
      </c>
      <c r="D258" s="182" t="s">
        <v>1277</v>
      </c>
      <c r="E258" s="141" t="s">
        <v>1035</v>
      </c>
      <c r="F258" s="142">
        <v>523537</v>
      </c>
      <c r="G258" s="142">
        <v>510840</v>
      </c>
      <c r="H258" s="143">
        <f>(G258-F258)*100/F258</f>
        <v>-2.425234510645857</v>
      </c>
      <c r="I258" s="11"/>
      <c r="J258" s="11"/>
      <c r="K258" s="11"/>
      <c r="L258" s="11"/>
      <c r="M258" s="11"/>
    </row>
    <row r="259" spans="1:13" ht="9.75" customHeight="1">
      <c r="A259" s="141"/>
      <c r="B259" s="145"/>
      <c r="C259" s="146"/>
      <c r="D259" s="147"/>
      <c r="E259" s="146"/>
      <c r="F259" s="148"/>
      <c r="G259" s="148"/>
      <c r="H259" s="143"/>
      <c r="I259" s="11"/>
      <c r="J259" s="11"/>
      <c r="K259" s="11"/>
      <c r="L259" s="11"/>
      <c r="M259" s="11"/>
    </row>
    <row r="260" spans="1:13" ht="40.5" customHeight="1">
      <c r="A260" s="1033" t="s">
        <v>1278</v>
      </c>
      <c r="B260" s="141"/>
      <c r="C260" s="239" t="s">
        <v>1269</v>
      </c>
      <c r="D260" s="160"/>
      <c r="E260" s="161"/>
      <c r="F260" s="151"/>
      <c r="G260" s="151"/>
      <c r="H260" s="143"/>
      <c r="I260" s="11"/>
      <c r="J260" s="11"/>
      <c r="K260" s="11"/>
      <c r="L260" s="11"/>
      <c r="M260" s="11"/>
    </row>
    <row r="261" spans="1:13" ht="36">
      <c r="A261" s="1034"/>
      <c r="B261" s="141" t="s">
        <v>15</v>
      </c>
      <c r="C261" s="140" t="s">
        <v>1280</v>
      </c>
      <c r="D261" s="182" t="s">
        <v>1279</v>
      </c>
      <c r="E261" s="141" t="s">
        <v>1035</v>
      </c>
      <c r="F261" s="202">
        <v>433821</v>
      </c>
      <c r="G261" s="202">
        <v>369101</v>
      </c>
      <c r="H261" s="143">
        <f>(G261-F261)*100/F261</f>
        <v>-14.918595457573515</v>
      </c>
      <c r="I261" s="11" t="s">
        <v>1812</v>
      </c>
      <c r="J261" s="11"/>
      <c r="K261" s="11"/>
      <c r="L261" s="11"/>
      <c r="M261" s="11"/>
    </row>
    <row r="262" spans="1:13" ht="54">
      <c r="A262" s="1034"/>
      <c r="B262" s="141"/>
      <c r="C262" s="239" t="s">
        <v>1273</v>
      </c>
      <c r="D262" s="246"/>
      <c r="E262" s="112"/>
      <c r="F262" s="158"/>
      <c r="G262" s="158"/>
      <c r="H262" s="143"/>
      <c r="I262" s="11"/>
      <c r="J262" s="11"/>
      <c r="K262" s="11"/>
      <c r="L262" s="11"/>
      <c r="M262" s="11"/>
    </row>
    <row r="263" spans="1:13" ht="36">
      <c r="A263" s="1034"/>
      <c r="B263" s="141" t="s">
        <v>909</v>
      </c>
      <c r="C263" s="140" t="s">
        <v>1280</v>
      </c>
      <c r="D263" s="141" t="s">
        <v>1281</v>
      </c>
      <c r="E263" s="141" t="s">
        <v>1035</v>
      </c>
      <c r="F263" s="142">
        <v>556663</v>
      </c>
      <c r="G263" s="142">
        <v>493582</v>
      </c>
      <c r="H263" s="143">
        <f>(G263-F263)*100/F263</f>
        <v>-11.331990809520303</v>
      </c>
      <c r="I263" s="11"/>
      <c r="J263" s="11"/>
      <c r="K263" s="11"/>
      <c r="L263" s="11"/>
      <c r="M263" s="11"/>
    </row>
    <row r="264" spans="1:13" ht="54">
      <c r="A264" s="1034"/>
      <c r="B264" s="141"/>
      <c r="C264" s="239" t="s">
        <v>1283</v>
      </c>
      <c r="D264" s="246"/>
      <c r="E264" s="112"/>
      <c r="F264" s="158"/>
      <c r="G264" s="158"/>
      <c r="H264" s="143"/>
      <c r="I264" s="11"/>
      <c r="J264" s="11"/>
      <c r="K264" s="11"/>
      <c r="L264" s="11"/>
      <c r="M264" s="11"/>
    </row>
    <row r="265" spans="1:13" ht="36">
      <c r="A265" s="1035"/>
      <c r="B265" s="141" t="s">
        <v>158</v>
      </c>
      <c r="C265" s="140" t="s">
        <v>1280</v>
      </c>
      <c r="D265" s="141" t="s">
        <v>1282</v>
      </c>
      <c r="E265" s="141" t="s">
        <v>1035</v>
      </c>
      <c r="F265" s="142">
        <v>684490</v>
      </c>
      <c r="G265" s="142">
        <v>616623</v>
      </c>
      <c r="H265" s="143">
        <f>(G265-F265)*100/F265</f>
        <v>-9.914973191719382</v>
      </c>
      <c r="I265" s="11"/>
      <c r="J265" s="11"/>
      <c r="K265" s="11"/>
      <c r="L265" s="11"/>
      <c r="M265" s="11"/>
    </row>
    <row r="266" spans="1:13" ht="9.75" customHeight="1">
      <c r="A266" s="141"/>
      <c r="B266" s="225"/>
      <c r="C266" s="140"/>
      <c r="D266" s="182"/>
      <c r="E266" s="141"/>
      <c r="F266" s="142"/>
      <c r="G266" s="142"/>
      <c r="H266" s="143"/>
      <c r="I266" s="11"/>
      <c r="J266" s="11"/>
      <c r="K266" s="11"/>
      <c r="L266" s="11"/>
      <c r="M266" s="11"/>
    </row>
    <row r="267" spans="1:13" ht="58.5" customHeight="1">
      <c r="A267" s="513" t="s">
        <v>237</v>
      </c>
      <c r="B267" s="141"/>
      <c r="C267" s="239" t="s">
        <v>1284</v>
      </c>
      <c r="D267" s="182" t="s">
        <v>1285</v>
      </c>
      <c r="E267" s="141" t="s">
        <v>1035</v>
      </c>
      <c r="F267" s="171">
        <v>245263</v>
      </c>
      <c r="G267" s="171">
        <v>239794</v>
      </c>
      <c r="H267" s="229">
        <f>(G267-F267)*100/F267</f>
        <v>-2.2298512209342625</v>
      </c>
      <c r="I267" s="11"/>
      <c r="J267" s="11"/>
      <c r="K267" s="11"/>
      <c r="L267" s="11"/>
      <c r="M267" s="11"/>
    </row>
    <row r="268" spans="1:13" ht="57.75" customHeight="1">
      <c r="A268" s="510" t="s">
        <v>1216</v>
      </c>
      <c r="B268" s="225"/>
      <c r="C268" s="239" t="s">
        <v>376</v>
      </c>
      <c r="D268" s="182" t="s">
        <v>377</v>
      </c>
      <c r="E268" s="141" t="s">
        <v>1035</v>
      </c>
      <c r="F268" s="142">
        <v>280146</v>
      </c>
      <c r="G268" s="142">
        <v>274079</v>
      </c>
      <c r="H268" s="143">
        <f>(G268-F268)*100/F268</f>
        <v>-2.165656479121601</v>
      </c>
      <c r="I268" s="11"/>
      <c r="J268" s="11"/>
      <c r="L268" s="47"/>
      <c r="M268" s="11"/>
    </row>
    <row r="269" spans="1:13" ht="94.5" customHeight="1">
      <c r="A269" s="1033" t="s">
        <v>853</v>
      </c>
      <c r="B269" s="139"/>
      <c r="C269" s="239" t="s">
        <v>378</v>
      </c>
      <c r="D269" s="254"/>
      <c r="E269" s="164"/>
      <c r="F269" s="166"/>
      <c r="G269" s="166"/>
      <c r="H269" s="180"/>
      <c r="I269" s="11"/>
      <c r="J269" s="11"/>
      <c r="K269" s="91"/>
      <c r="L269" s="11"/>
      <c r="M269" s="11"/>
    </row>
    <row r="270" spans="1:13" ht="36">
      <c r="A270" s="1034"/>
      <c r="B270" s="156" t="s">
        <v>15</v>
      </c>
      <c r="C270" s="255" t="s">
        <v>379</v>
      </c>
      <c r="D270" s="156" t="s">
        <v>380</v>
      </c>
      <c r="E270" s="156" t="s">
        <v>1035</v>
      </c>
      <c r="F270" s="256">
        <v>273057</v>
      </c>
      <c r="G270" s="561" t="s">
        <v>266</v>
      </c>
      <c r="H270" s="559"/>
      <c r="I270" s="11"/>
      <c r="J270" s="11"/>
      <c r="K270" s="91"/>
      <c r="L270" s="11"/>
      <c r="M270" s="11"/>
    </row>
    <row r="271" spans="1:13" ht="36">
      <c r="A271" s="513" t="s">
        <v>879</v>
      </c>
      <c r="B271" s="170"/>
      <c r="C271" s="169" t="s">
        <v>381</v>
      </c>
      <c r="D271" s="170" t="s">
        <v>382</v>
      </c>
      <c r="E271" s="170" t="s">
        <v>394</v>
      </c>
      <c r="F271" s="171">
        <v>9780</v>
      </c>
      <c r="G271" s="171">
        <v>9209</v>
      </c>
      <c r="H271" s="143">
        <f>(G271-F271)*100/F271</f>
        <v>-5.838445807770961</v>
      </c>
      <c r="I271" s="11"/>
      <c r="J271" s="11"/>
      <c r="K271" s="11"/>
      <c r="L271" s="11"/>
      <c r="M271" s="11"/>
    </row>
    <row r="272" spans="1:13" ht="9.75" customHeight="1">
      <c r="A272" s="141"/>
      <c r="B272" s="150"/>
      <c r="C272" s="161"/>
      <c r="D272" s="188"/>
      <c r="E272" s="161"/>
      <c r="F272" s="151"/>
      <c r="G272" s="151"/>
      <c r="H272" s="143"/>
      <c r="I272" s="11"/>
      <c r="J272" s="11"/>
      <c r="K272" s="11"/>
      <c r="L272" s="11"/>
      <c r="M272" s="11"/>
    </row>
    <row r="273" spans="1:13" ht="36">
      <c r="A273" s="513" t="s">
        <v>693</v>
      </c>
      <c r="B273" s="141"/>
      <c r="C273" s="140" t="s">
        <v>383</v>
      </c>
      <c r="D273" s="141" t="s">
        <v>384</v>
      </c>
      <c r="E273" s="141" t="s">
        <v>385</v>
      </c>
      <c r="F273" s="142">
        <v>1917922</v>
      </c>
      <c r="G273" s="142">
        <v>1945906</v>
      </c>
      <c r="H273" s="143">
        <f>(G273-F273)*100/F273</f>
        <v>1.4590791492041908</v>
      </c>
      <c r="I273" s="11"/>
      <c r="J273" s="11"/>
      <c r="K273" s="11"/>
      <c r="L273" s="11"/>
      <c r="M273" s="11"/>
    </row>
    <row r="274" spans="1:13" ht="36">
      <c r="A274" s="513" t="s">
        <v>695</v>
      </c>
      <c r="B274" s="141"/>
      <c r="C274" s="140" t="s">
        <v>572</v>
      </c>
      <c r="D274" s="141" t="s">
        <v>573</v>
      </c>
      <c r="E274" s="141" t="s">
        <v>574</v>
      </c>
      <c r="F274" s="142">
        <v>960861</v>
      </c>
      <c r="G274" s="142">
        <v>935426</v>
      </c>
      <c r="H274" s="143">
        <f>(G274-F274)*100/F274</f>
        <v>-2.6471050443300332</v>
      </c>
      <c r="I274" s="11"/>
      <c r="J274" s="11"/>
      <c r="K274" s="11"/>
      <c r="L274" s="11"/>
      <c r="M274" s="11"/>
    </row>
    <row r="275" spans="1:13" ht="36">
      <c r="A275" s="513" t="s">
        <v>543</v>
      </c>
      <c r="B275" s="141"/>
      <c r="C275" s="140" t="s">
        <v>575</v>
      </c>
      <c r="D275" s="141" t="s">
        <v>576</v>
      </c>
      <c r="E275" s="141" t="s">
        <v>577</v>
      </c>
      <c r="F275" s="142">
        <v>692611</v>
      </c>
      <c r="G275" s="142">
        <v>676802</v>
      </c>
      <c r="H275" s="143">
        <f>(G275-F275)*100/F275</f>
        <v>-2.282522223874585</v>
      </c>
      <c r="I275" s="11"/>
      <c r="J275" s="11"/>
      <c r="K275" s="11"/>
      <c r="L275" s="11"/>
      <c r="M275" s="11"/>
    </row>
    <row r="276" spans="1:13" ht="18">
      <c r="A276" s="513" t="s">
        <v>664</v>
      </c>
      <c r="B276" s="141"/>
      <c r="C276" s="140" t="s">
        <v>578</v>
      </c>
      <c r="D276" s="170" t="s">
        <v>579</v>
      </c>
      <c r="E276" s="170" t="s">
        <v>1035</v>
      </c>
      <c r="F276" s="171">
        <v>78149</v>
      </c>
      <c r="G276" s="171">
        <v>76543</v>
      </c>
      <c r="H276" s="143">
        <f>(G276-F276)*100/F276</f>
        <v>-2.055048689042726</v>
      </c>
      <c r="I276" s="11"/>
      <c r="J276" s="11"/>
      <c r="K276" s="11"/>
      <c r="L276" s="11"/>
      <c r="M276" s="11"/>
    </row>
    <row r="277" spans="1:13" ht="36">
      <c r="A277" s="1033" t="s">
        <v>672</v>
      </c>
      <c r="B277" s="141"/>
      <c r="C277" s="239" t="s">
        <v>48</v>
      </c>
      <c r="D277" s="257"/>
      <c r="E277" s="161"/>
      <c r="F277" s="258"/>
      <c r="G277" s="258"/>
      <c r="H277" s="143"/>
      <c r="I277" s="11"/>
      <c r="J277" s="11"/>
      <c r="K277" s="11"/>
      <c r="L277" s="11"/>
      <c r="M277" s="11"/>
    </row>
    <row r="278" spans="1:13" ht="36">
      <c r="A278" s="1034"/>
      <c r="B278" s="156" t="s">
        <v>15</v>
      </c>
      <c r="C278" s="157" t="s">
        <v>49</v>
      </c>
      <c r="D278" s="259" t="s">
        <v>50</v>
      </c>
      <c r="E278" s="259"/>
      <c r="F278" s="260">
        <v>66251</v>
      </c>
      <c r="G278" s="260">
        <v>68984</v>
      </c>
      <c r="H278" s="559">
        <f aca="true" t="shared" si="1" ref="H278:H283">(G278-F278)*100/F278</f>
        <v>4.125220751384885</v>
      </c>
      <c r="I278" s="11"/>
      <c r="J278" s="11"/>
      <c r="K278" s="11"/>
      <c r="L278" s="11"/>
      <c r="M278" s="11"/>
    </row>
    <row r="279" spans="1:13" ht="36">
      <c r="A279" s="1034"/>
      <c r="B279" s="156" t="s">
        <v>909</v>
      </c>
      <c r="C279" s="157" t="s">
        <v>51</v>
      </c>
      <c r="D279" s="156" t="s">
        <v>52</v>
      </c>
      <c r="E279" s="156"/>
      <c r="F279" s="256">
        <v>106799</v>
      </c>
      <c r="G279" s="256">
        <v>110491</v>
      </c>
      <c r="H279" s="559">
        <f t="shared" si="1"/>
        <v>3.456961207501943</v>
      </c>
      <c r="I279" s="11"/>
      <c r="J279" s="11"/>
      <c r="K279" s="11"/>
      <c r="L279" s="11"/>
      <c r="M279" s="11"/>
    </row>
    <row r="280" spans="1:13" ht="36">
      <c r="A280" s="1034"/>
      <c r="B280" s="156" t="s">
        <v>158</v>
      </c>
      <c r="C280" s="157" t="s">
        <v>53</v>
      </c>
      <c r="D280" s="156" t="s">
        <v>54</v>
      </c>
      <c r="E280" s="156"/>
      <c r="F280" s="256">
        <v>68889</v>
      </c>
      <c r="G280" s="256">
        <v>71635</v>
      </c>
      <c r="H280" s="559">
        <f t="shared" si="1"/>
        <v>3.9861226030280594</v>
      </c>
      <c r="I280" s="11"/>
      <c r="J280" s="11"/>
      <c r="K280" s="11"/>
      <c r="L280" s="11"/>
      <c r="M280" s="11"/>
    </row>
    <row r="281" spans="1:13" ht="36">
      <c r="A281" s="1035"/>
      <c r="B281" s="156" t="s">
        <v>159</v>
      </c>
      <c r="C281" s="157" t="s">
        <v>55</v>
      </c>
      <c r="D281" s="156" t="s">
        <v>56</v>
      </c>
      <c r="E281" s="156"/>
      <c r="F281" s="256">
        <v>109350</v>
      </c>
      <c r="G281" s="256">
        <v>113054</v>
      </c>
      <c r="H281" s="559">
        <f t="shared" si="1"/>
        <v>3.387288523090992</v>
      </c>
      <c r="I281" s="11"/>
      <c r="J281" s="11"/>
      <c r="K281" s="11"/>
      <c r="L281" s="11"/>
      <c r="M281" s="11"/>
    </row>
    <row r="282" spans="1:13" ht="36">
      <c r="A282" s="513" t="s">
        <v>675</v>
      </c>
      <c r="B282" s="141"/>
      <c r="C282" s="239" t="s">
        <v>57</v>
      </c>
      <c r="D282" s="141" t="s">
        <v>58</v>
      </c>
      <c r="E282" s="170" t="s">
        <v>1035</v>
      </c>
      <c r="F282" s="142">
        <v>194760</v>
      </c>
      <c r="G282" s="142">
        <v>197052</v>
      </c>
      <c r="H282" s="143">
        <f t="shared" si="1"/>
        <v>1.1768330252618608</v>
      </c>
      <c r="I282" s="11"/>
      <c r="J282" s="11"/>
      <c r="K282" s="11"/>
      <c r="L282" s="11"/>
      <c r="M282" s="11"/>
    </row>
    <row r="283" spans="1:13" ht="36">
      <c r="A283" s="510" t="s">
        <v>59</v>
      </c>
      <c r="B283" s="170"/>
      <c r="C283" s="261" t="s">
        <v>870</v>
      </c>
      <c r="D283" s="170" t="s">
        <v>871</v>
      </c>
      <c r="E283" s="170" t="s">
        <v>1035</v>
      </c>
      <c r="F283" s="171">
        <v>220985</v>
      </c>
      <c r="G283" s="171">
        <v>223565</v>
      </c>
      <c r="H283" s="143">
        <f t="shared" si="1"/>
        <v>1.1675000565649252</v>
      </c>
      <c r="I283" s="11"/>
      <c r="J283" s="11"/>
      <c r="K283" s="11"/>
      <c r="L283" s="11"/>
      <c r="M283" s="11"/>
    </row>
    <row r="284" spans="1:13" ht="36">
      <c r="A284" s="1036" t="s">
        <v>872</v>
      </c>
      <c r="B284" s="141"/>
      <c r="C284" s="261" t="s">
        <v>963</v>
      </c>
      <c r="D284" s="241"/>
      <c r="E284" s="186"/>
      <c r="F284" s="187"/>
      <c r="G284" s="187"/>
      <c r="H284" s="143"/>
      <c r="I284" s="11"/>
      <c r="J284" s="11"/>
      <c r="K284" s="11"/>
      <c r="L284" s="11"/>
      <c r="M284" s="11"/>
    </row>
    <row r="285" spans="1:13" ht="36">
      <c r="A285" s="1036"/>
      <c r="B285" s="141" t="s">
        <v>15</v>
      </c>
      <c r="C285" s="261" t="s">
        <v>1810</v>
      </c>
      <c r="D285" s="209" t="s">
        <v>964</v>
      </c>
      <c r="E285" s="209" t="s">
        <v>394</v>
      </c>
      <c r="F285" s="210">
        <v>1350</v>
      </c>
      <c r="G285" s="210">
        <v>1091</v>
      </c>
      <c r="H285" s="143">
        <f>(G285-F285)*100/F285</f>
        <v>-19.185185185185187</v>
      </c>
      <c r="I285" s="11"/>
      <c r="J285" s="11"/>
      <c r="K285" s="11"/>
      <c r="L285" s="11"/>
      <c r="M285" s="11"/>
    </row>
    <row r="286" spans="1:13" ht="36">
      <c r="A286" s="1036"/>
      <c r="B286" s="141" t="s">
        <v>909</v>
      </c>
      <c r="C286" s="261" t="s">
        <v>1811</v>
      </c>
      <c r="D286" s="170" t="s">
        <v>965</v>
      </c>
      <c r="E286" s="170" t="s">
        <v>394</v>
      </c>
      <c r="F286" s="171">
        <v>1577</v>
      </c>
      <c r="G286" s="171">
        <v>1295</v>
      </c>
      <c r="H286" s="229">
        <f>(G286-F286)*100/F286</f>
        <v>-17.882054533925174</v>
      </c>
      <c r="I286" s="11"/>
      <c r="J286" s="11"/>
      <c r="K286" s="11"/>
      <c r="L286" s="11"/>
      <c r="M286" s="11"/>
    </row>
    <row r="287" spans="1:13" ht="54">
      <c r="A287" s="513" t="s">
        <v>966</v>
      </c>
      <c r="B287" s="141"/>
      <c r="C287" s="239" t="s">
        <v>967</v>
      </c>
      <c r="D287" s="141" t="s">
        <v>968</v>
      </c>
      <c r="E287" s="141" t="s">
        <v>1035</v>
      </c>
      <c r="F287" s="142">
        <v>253584</v>
      </c>
      <c r="G287" s="562" t="s">
        <v>266</v>
      </c>
      <c r="H287" s="229"/>
      <c r="I287" s="11"/>
      <c r="J287" s="11"/>
      <c r="K287" s="92"/>
      <c r="L287" s="113"/>
      <c r="M287" s="11"/>
    </row>
    <row r="288" spans="1:13" ht="9.75" customHeight="1">
      <c r="A288" s="262"/>
      <c r="B288" s="263"/>
      <c r="C288" s="264"/>
      <c r="D288" s="263"/>
      <c r="E288" s="263"/>
      <c r="F288" s="172"/>
      <c r="G288" s="172"/>
      <c r="H288" s="143"/>
      <c r="I288" s="11"/>
      <c r="J288" s="11"/>
      <c r="K288" s="11"/>
      <c r="L288" s="11"/>
      <c r="M288" s="11"/>
    </row>
    <row r="289" spans="1:13" ht="18">
      <c r="A289" s="1042" t="s">
        <v>969</v>
      </c>
      <c r="B289" s="1043"/>
      <c r="C289" s="1043"/>
      <c r="D289" s="137"/>
      <c r="E289" s="190"/>
      <c r="F289" s="187"/>
      <c r="G289" s="187"/>
      <c r="H289" s="143"/>
      <c r="I289" s="11"/>
      <c r="J289" s="11"/>
      <c r="K289" s="11"/>
      <c r="L289" s="11"/>
      <c r="M289" s="11"/>
    </row>
    <row r="290" spans="1:13" ht="9.75" customHeight="1">
      <c r="A290" s="141"/>
      <c r="B290" s="150"/>
      <c r="C290" s="161"/>
      <c r="D290" s="188"/>
      <c r="E290" s="161"/>
      <c r="F290" s="151"/>
      <c r="G290" s="151"/>
      <c r="H290" s="143"/>
      <c r="I290" s="11"/>
      <c r="J290" s="11"/>
      <c r="K290" s="11"/>
      <c r="L290" s="11"/>
      <c r="M290" s="11"/>
    </row>
    <row r="291" spans="1:13" ht="18">
      <c r="A291" s="1033" t="s">
        <v>388</v>
      </c>
      <c r="B291" s="140"/>
      <c r="C291" s="239" t="s">
        <v>970</v>
      </c>
      <c r="D291" s="160"/>
      <c r="E291" s="161"/>
      <c r="F291" s="151"/>
      <c r="G291" s="151"/>
      <c r="H291" s="143"/>
      <c r="I291" s="11"/>
      <c r="J291" s="11"/>
      <c r="K291" s="11"/>
      <c r="L291" s="11"/>
      <c r="M291" s="11"/>
    </row>
    <row r="292" spans="1:13" ht="18">
      <c r="A292" s="1034"/>
      <c r="B292" s="141" t="s">
        <v>15</v>
      </c>
      <c r="C292" s="140" t="s">
        <v>283</v>
      </c>
      <c r="D292" s="141" t="s">
        <v>971</v>
      </c>
      <c r="E292" s="141" t="s">
        <v>926</v>
      </c>
      <c r="F292" s="142">
        <v>8957</v>
      </c>
      <c r="G292" s="142">
        <v>9574</v>
      </c>
      <c r="H292" s="143">
        <f>(G292-F292)*100/F292</f>
        <v>6.88846712068773</v>
      </c>
      <c r="I292" s="11"/>
      <c r="J292" s="11"/>
      <c r="K292" s="11"/>
      <c r="L292" s="114"/>
      <c r="M292" s="11"/>
    </row>
    <row r="293" spans="1:13" ht="18">
      <c r="A293" s="1034"/>
      <c r="B293" s="141" t="s">
        <v>909</v>
      </c>
      <c r="C293" s="140" t="s">
        <v>285</v>
      </c>
      <c r="D293" s="141" t="s">
        <v>972</v>
      </c>
      <c r="E293" s="141" t="s">
        <v>926</v>
      </c>
      <c r="F293" s="142">
        <v>8957</v>
      </c>
      <c r="G293" s="142">
        <v>9574</v>
      </c>
      <c r="H293" s="143">
        <f>(G293-F293)*100/F293</f>
        <v>6.88846712068773</v>
      </c>
      <c r="I293" s="11"/>
      <c r="J293" s="11"/>
      <c r="K293" s="11"/>
      <c r="L293" s="114"/>
      <c r="M293" s="11"/>
    </row>
    <row r="294" spans="1:13" ht="18">
      <c r="A294" s="1034"/>
      <c r="B294" s="141" t="s">
        <v>158</v>
      </c>
      <c r="C294" s="140" t="s">
        <v>287</v>
      </c>
      <c r="D294" s="141" t="s">
        <v>973</v>
      </c>
      <c r="E294" s="141" t="s">
        <v>926</v>
      </c>
      <c r="F294" s="142">
        <v>8957</v>
      </c>
      <c r="G294" s="142">
        <v>9574</v>
      </c>
      <c r="H294" s="143">
        <f>(G294-F294)*100/F294</f>
        <v>6.88846712068773</v>
      </c>
      <c r="I294" s="11"/>
      <c r="J294" s="11"/>
      <c r="K294" s="11"/>
      <c r="L294" s="114"/>
      <c r="M294" s="11"/>
    </row>
    <row r="295" spans="1:13" ht="18">
      <c r="A295" s="1035"/>
      <c r="B295" s="141" t="s">
        <v>159</v>
      </c>
      <c r="C295" s="140" t="s">
        <v>1054</v>
      </c>
      <c r="D295" s="141" t="s">
        <v>974</v>
      </c>
      <c r="E295" s="141" t="s">
        <v>926</v>
      </c>
      <c r="F295" s="142">
        <v>8678</v>
      </c>
      <c r="G295" s="142">
        <v>9282</v>
      </c>
      <c r="H295" s="143">
        <f>(G295-F295)*100/F295</f>
        <v>6.960129061995851</v>
      </c>
      <c r="I295" s="11"/>
      <c r="J295" s="11"/>
      <c r="K295" s="11"/>
      <c r="L295" s="114"/>
      <c r="M295" s="91"/>
    </row>
    <row r="296" spans="1:13" ht="58.5" customHeight="1">
      <c r="A296" s="140"/>
      <c r="B296" s="140"/>
      <c r="C296" s="140" t="s">
        <v>816</v>
      </c>
      <c r="D296" s="241"/>
      <c r="E296" s="186"/>
      <c r="F296" s="187"/>
      <c r="G296" s="187"/>
      <c r="H296" s="143"/>
      <c r="I296" s="11"/>
      <c r="J296" s="11"/>
      <c r="K296" s="11"/>
      <c r="L296" s="11"/>
      <c r="M296" s="11"/>
    </row>
    <row r="297" spans="1:13" ht="54">
      <c r="A297" s="1033" t="s">
        <v>1039</v>
      </c>
      <c r="B297" s="141" t="s">
        <v>15</v>
      </c>
      <c r="C297" s="140" t="s">
        <v>1063</v>
      </c>
      <c r="D297" s="141" t="s">
        <v>1064</v>
      </c>
      <c r="E297" s="141" t="s">
        <v>926</v>
      </c>
      <c r="F297" s="142"/>
      <c r="G297" s="142"/>
      <c r="H297" s="143"/>
      <c r="I297" s="11"/>
      <c r="J297" s="11"/>
      <c r="K297" s="11"/>
      <c r="L297" s="11"/>
      <c r="M297" s="11"/>
    </row>
    <row r="298" spans="1:13" ht="18">
      <c r="A298" s="1034"/>
      <c r="B298" s="141" t="s">
        <v>15</v>
      </c>
      <c r="C298" s="140" t="s">
        <v>1065</v>
      </c>
      <c r="D298" s="141" t="s">
        <v>1066</v>
      </c>
      <c r="E298" s="141" t="s">
        <v>926</v>
      </c>
      <c r="F298" s="142">
        <v>2629</v>
      </c>
      <c r="G298" s="142">
        <v>2653</v>
      </c>
      <c r="H298" s="143">
        <f>(G298-F298)*100/F298</f>
        <v>0.9128946367440092</v>
      </c>
      <c r="I298" s="11"/>
      <c r="J298" s="11"/>
      <c r="K298" s="92"/>
      <c r="L298" s="11"/>
      <c r="M298" s="11"/>
    </row>
    <row r="299" spans="1:13" ht="18">
      <c r="A299" s="1035"/>
      <c r="B299" s="141" t="s">
        <v>909</v>
      </c>
      <c r="C299" s="140" t="s">
        <v>1067</v>
      </c>
      <c r="D299" s="141" t="s">
        <v>1068</v>
      </c>
      <c r="E299" s="141" t="s">
        <v>926</v>
      </c>
      <c r="F299" s="142">
        <v>2335</v>
      </c>
      <c r="G299" s="142">
        <v>2359</v>
      </c>
      <c r="H299" s="143">
        <f>(G299-F299)*100/F299</f>
        <v>1.0278372591006424</v>
      </c>
      <c r="I299" s="11"/>
      <c r="J299" s="11"/>
      <c r="K299" s="92"/>
      <c r="L299" s="11"/>
      <c r="M299" s="11"/>
    </row>
    <row r="300" spans="1:13" ht="54">
      <c r="A300" s="1033" t="s">
        <v>1044</v>
      </c>
      <c r="B300" s="141" t="s">
        <v>909</v>
      </c>
      <c r="C300" s="140" t="s">
        <v>1069</v>
      </c>
      <c r="D300" s="141" t="s">
        <v>1070</v>
      </c>
      <c r="E300" s="141" t="s">
        <v>926</v>
      </c>
      <c r="F300" s="142"/>
      <c r="G300" s="142"/>
      <c r="H300" s="143"/>
      <c r="I300" s="11"/>
      <c r="J300" s="11"/>
      <c r="K300" s="11"/>
      <c r="L300" s="11"/>
      <c r="M300" s="11"/>
    </row>
    <row r="301" spans="1:13" ht="18">
      <c r="A301" s="1034"/>
      <c r="B301" s="141" t="s">
        <v>15</v>
      </c>
      <c r="C301" s="140" t="s">
        <v>1065</v>
      </c>
      <c r="D301" s="141" t="s">
        <v>1071</v>
      </c>
      <c r="E301" s="141" t="s">
        <v>926</v>
      </c>
      <c r="F301" s="142">
        <v>4947</v>
      </c>
      <c r="G301" s="142">
        <v>5011</v>
      </c>
      <c r="H301" s="143">
        <f>(G301-F301)*100/F301</f>
        <v>1.2937133616333132</v>
      </c>
      <c r="I301" s="11"/>
      <c r="J301" s="11"/>
      <c r="K301" s="92"/>
      <c r="L301" s="11"/>
      <c r="M301" s="11"/>
    </row>
    <row r="302" spans="1:13" ht="18">
      <c r="A302" s="1035"/>
      <c r="B302" s="141" t="s">
        <v>909</v>
      </c>
      <c r="C302" s="140" t="s">
        <v>1067</v>
      </c>
      <c r="D302" s="141" t="s">
        <v>1072</v>
      </c>
      <c r="E302" s="141" t="s">
        <v>926</v>
      </c>
      <c r="F302" s="142">
        <v>4718</v>
      </c>
      <c r="G302" s="142">
        <v>4782</v>
      </c>
      <c r="H302" s="143">
        <f>(G302-F302)*100/F302</f>
        <v>1.3565069944891903</v>
      </c>
      <c r="I302" s="11"/>
      <c r="J302" s="11"/>
      <c r="K302" s="92"/>
      <c r="L302" s="11"/>
      <c r="M302" s="11"/>
    </row>
    <row r="303" spans="1:13" ht="54">
      <c r="A303" s="513" t="s">
        <v>1050</v>
      </c>
      <c r="B303" s="141" t="s">
        <v>158</v>
      </c>
      <c r="C303" s="140" t="s">
        <v>1073</v>
      </c>
      <c r="D303" s="141" t="s">
        <v>1074</v>
      </c>
      <c r="E303" s="141" t="s">
        <v>926</v>
      </c>
      <c r="F303" s="142">
        <v>2600</v>
      </c>
      <c r="G303" s="142">
        <v>2618</v>
      </c>
      <c r="H303" s="143">
        <f>(G303-F303)*100/F303</f>
        <v>0.6923076923076923</v>
      </c>
      <c r="I303" s="11"/>
      <c r="J303" s="11"/>
      <c r="K303" s="11"/>
      <c r="L303" s="11"/>
      <c r="M303" s="11"/>
    </row>
    <row r="304" spans="1:13" ht="41.25" customHeight="1">
      <c r="A304" s="1036" t="s">
        <v>300</v>
      </c>
      <c r="B304" s="141" t="s">
        <v>159</v>
      </c>
      <c r="C304" s="140" t="s">
        <v>1075</v>
      </c>
      <c r="D304" s="141" t="s">
        <v>1076</v>
      </c>
      <c r="E304" s="141" t="s">
        <v>926</v>
      </c>
      <c r="F304" s="142"/>
      <c r="G304" s="142"/>
      <c r="H304" s="143"/>
      <c r="I304" s="11"/>
      <c r="J304" s="11"/>
      <c r="K304" s="11"/>
      <c r="L304" s="11"/>
      <c r="M304" s="11"/>
    </row>
    <row r="305" spans="1:13" ht="18">
      <c r="A305" s="1036"/>
      <c r="B305" s="141" t="s">
        <v>15</v>
      </c>
      <c r="C305" s="140" t="s">
        <v>1065</v>
      </c>
      <c r="D305" s="141" t="s">
        <v>1077</v>
      </c>
      <c r="E305" s="141" t="s">
        <v>926</v>
      </c>
      <c r="F305" s="142">
        <v>1649</v>
      </c>
      <c r="G305" s="142">
        <v>1673</v>
      </c>
      <c r="H305" s="143">
        <f>(G305-F305)*100/F305</f>
        <v>1.4554275318374772</v>
      </c>
      <c r="I305" s="11"/>
      <c r="J305" s="11"/>
      <c r="K305" s="92"/>
      <c r="L305" s="11"/>
      <c r="M305" s="11"/>
    </row>
    <row r="306" spans="1:13" ht="18">
      <c r="A306" s="1033"/>
      <c r="B306" s="170" t="s">
        <v>909</v>
      </c>
      <c r="C306" s="169" t="s">
        <v>1067</v>
      </c>
      <c r="D306" s="170" t="s">
        <v>1078</v>
      </c>
      <c r="E306" s="170" t="s">
        <v>926</v>
      </c>
      <c r="F306" s="171">
        <v>1355</v>
      </c>
      <c r="G306" s="171">
        <v>1379</v>
      </c>
      <c r="H306" s="229">
        <f>(G306-F306)*100/F306</f>
        <v>1.7712177121771218</v>
      </c>
      <c r="I306" s="11"/>
      <c r="J306" s="11"/>
      <c r="K306" s="92"/>
      <c r="L306" s="11"/>
      <c r="M306" s="47"/>
    </row>
    <row r="307" spans="1:13" ht="39.75" customHeight="1">
      <c r="A307" s="1036" t="s">
        <v>392</v>
      </c>
      <c r="B307" s="141" t="s">
        <v>160</v>
      </c>
      <c r="C307" s="140" t="s">
        <v>214</v>
      </c>
      <c r="D307" s="141" t="s">
        <v>215</v>
      </c>
      <c r="E307" s="141" t="s">
        <v>926</v>
      </c>
      <c r="F307" s="142"/>
      <c r="G307" s="142"/>
      <c r="H307" s="143"/>
      <c r="I307" s="47"/>
      <c r="J307" s="47"/>
      <c r="K307" s="47"/>
      <c r="L307" s="47"/>
      <c r="M307" s="47"/>
    </row>
    <row r="308" spans="1:13" ht="18">
      <c r="A308" s="1036"/>
      <c r="B308" s="141" t="s">
        <v>15</v>
      </c>
      <c r="C308" s="140" t="s">
        <v>1065</v>
      </c>
      <c r="D308" s="141" t="s">
        <v>216</v>
      </c>
      <c r="E308" s="141" t="s">
        <v>926</v>
      </c>
      <c r="F308" s="142">
        <v>2767</v>
      </c>
      <c r="G308" s="142">
        <v>2831</v>
      </c>
      <c r="H308" s="143">
        <f>(G308-F308)*100/F308</f>
        <v>2.3129743404409107</v>
      </c>
      <c r="I308" s="47"/>
      <c r="J308" s="47"/>
      <c r="K308" s="550"/>
      <c r="L308" s="47"/>
      <c r="M308" s="47"/>
    </row>
    <row r="309" spans="1:13" ht="18">
      <c r="A309" s="1036"/>
      <c r="B309" s="141" t="s">
        <v>909</v>
      </c>
      <c r="C309" s="140" t="s">
        <v>1067</v>
      </c>
      <c r="D309" s="141" t="s">
        <v>217</v>
      </c>
      <c r="E309" s="141" t="s">
        <v>926</v>
      </c>
      <c r="F309" s="142">
        <v>2538</v>
      </c>
      <c r="G309" s="142">
        <v>2602</v>
      </c>
      <c r="H309" s="143">
        <f>(G309-F309)*100/F309</f>
        <v>2.52167060677699</v>
      </c>
      <c r="I309" s="47"/>
      <c r="J309" s="47"/>
      <c r="K309" s="550"/>
      <c r="L309" s="47"/>
      <c r="M309" s="47"/>
    </row>
    <row r="310" spans="1:13" ht="15" customHeight="1">
      <c r="A310" s="550"/>
      <c r="B310" s="178"/>
      <c r="C310" s="112"/>
      <c r="D310" s="178"/>
      <c r="E310" s="178"/>
      <c r="F310" s="1044" t="s">
        <v>736</v>
      </c>
      <c r="G310" s="1044"/>
      <c r="H310" s="265">
        <v>0.1</v>
      </c>
      <c r="I310" s="40"/>
      <c r="J310" s="40"/>
      <c r="K310" s="550"/>
      <c r="L310" s="47"/>
      <c r="M310" s="47"/>
    </row>
    <row r="311" spans="1:13" ht="15" customHeight="1">
      <c r="A311" s="550"/>
      <c r="B311" s="178"/>
      <c r="C311" s="112"/>
      <c r="D311" s="178"/>
      <c r="E311" s="178"/>
      <c r="F311" s="129"/>
      <c r="G311" s="129"/>
      <c r="H311" s="130"/>
      <c r="I311" s="40"/>
      <c r="J311" s="40"/>
      <c r="K311" s="550"/>
      <c r="L311" s="47"/>
      <c r="M311" s="47"/>
    </row>
    <row r="312" spans="1:13" ht="15" customHeight="1">
      <c r="A312" s="550"/>
      <c r="B312" s="178"/>
      <c r="C312" s="112"/>
      <c r="D312" s="178"/>
      <c r="E312" s="178"/>
      <c r="F312" s="129"/>
      <c r="G312" s="129"/>
      <c r="H312" s="130"/>
      <c r="I312" s="40"/>
      <c r="J312" s="40"/>
      <c r="K312" s="550"/>
      <c r="L312" s="47"/>
      <c r="M312" s="47"/>
    </row>
    <row r="313" spans="1:13" ht="15" customHeight="1">
      <c r="A313" s="550"/>
      <c r="B313" s="178"/>
      <c r="C313" s="112"/>
      <c r="D313" s="178"/>
      <c r="E313" s="178"/>
      <c r="F313" s="129"/>
      <c r="G313" s="129"/>
      <c r="H313" s="130"/>
      <c r="I313" s="40"/>
      <c r="J313" s="40"/>
      <c r="K313" s="550"/>
      <c r="L313" s="47"/>
      <c r="M313" s="47"/>
    </row>
    <row r="314" spans="1:13" ht="15" customHeight="1">
      <c r="A314" s="550"/>
      <c r="B314" s="178"/>
      <c r="C314" s="112"/>
      <c r="D314" s="178"/>
      <c r="E314" s="178"/>
      <c r="F314" s="129"/>
      <c r="G314" s="129"/>
      <c r="H314" s="130"/>
      <c r="I314" s="40"/>
      <c r="J314" s="40"/>
      <c r="K314" s="550"/>
      <c r="L314" s="47"/>
      <c r="M314" s="47"/>
    </row>
    <row r="315" spans="1:13" ht="15" customHeight="1">
      <c r="A315" s="550"/>
      <c r="B315" s="178"/>
      <c r="C315" s="112"/>
      <c r="D315" s="178"/>
      <c r="E315" s="178"/>
      <c r="F315" s="129"/>
      <c r="G315" s="129"/>
      <c r="H315" s="130"/>
      <c r="I315" s="40"/>
      <c r="J315" s="40"/>
      <c r="K315" s="550"/>
      <c r="L315" s="47"/>
      <c r="M315" s="47"/>
    </row>
    <row r="316" spans="1:13" ht="15" customHeight="1">
      <c r="A316" s="550"/>
      <c r="B316" s="178"/>
      <c r="C316" s="112"/>
      <c r="D316" s="178"/>
      <c r="E316" s="178"/>
      <c r="F316" s="129"/>
      <c r="G316" s="129"/>
      <c r="H316" s="130"/>
      <c r="I316" s="40"/>
      <c r="J316" s="40"/>
      <c r="K316" s="550"/>
      <c r="L316" s="47"/>
      <c r="M316" s="47"/>
    </row>
    <row r="317" spans="1:13" ht="15" customHeight="1">
      <c r="A317" s="550"/>
      <c r="B317" s="178"/>
      <c r="C317" s="112"/>
      <c r="D317" s="178"/>
      <c r="E317" s="178"/>
      <c r="F317" s="129"/>
      <c r="G317" s="129"/>
      <c r="H317" s="130"/>
      <c r="I317" s="40"/>
      <c r="J317" s="40"/>
      <c r="K317" s="550"/>
      <c r="L317" s="47"/>
      <c r="M317" s="47"/>
    </row>
    <row r="318" spans="1:13" ht="15" customHeight="1">
      <c r="A318" s="550"/>
      <c r="B318" s="178"/>
      <c r="C318" s="112"/>
      <c r="D318" s="178"/>
      <c r="E318" s="178"/>
      <c r="F318" s="129"/>
      <c r="G318" s="129"/>
      <c r="H318" s="130"/>
      <c r="I318" s="40"/>
      <c r="J318" s="40"/>
      <c r="K318" s="550"/>
      <c r="L318" s="47"/>
      <c r="M318" s="47"/>
    </row>
    <row r="319" spans="1:13" ht="15" customHeight="1">
      <c r="A319" s="550"/>
      <c r="B319" s="178"/>
      <c r="C319" s="112"/>
      <c r="D319" s="178"/>
      <c r="E319" s="178"/>
      <c r="F319" s="129"/>
      <c r="G319" s="129"/>
      <c r="H319" s="130"/>
      <c r="I319" s="40"/>
      <c r="J319" s="40"/>
      <c r="K319" s="550"/>
      <c r="L319" s="47"/>
      <c r="M319" s="47"/>
    </row>
    <row r="320" spans="1:13" ht="15" customHeight="1">
      <c r="A320" s="550"/>
      <c r="B320" s="178"/>
      <c r="C320" s="112"/>
      <c r="D320" s="178"/>
      <c r="E320" s="178"/>
      <c r="F320" s="129"/>
      <c r="G320" s="129"/>
      <c r="H320" s="130"/>
      <c r="I320" s="40"/>
      <c r="J320" s="40"/>
      <c r="K320" s="550"/>
      <c r="L320" s="47"/>
      <c r="M320" s="47"/>
    </row>
    <row r="321" spans="1:13" ht="15" customHeight="1">
      <c r="A321" s="550"/>
      <c r="B321" s="178"/>
      <c r="C321" s="112"/>
      <c r="D321" s="178"/>
      <c r="E321" s="178"/>
      <c r="F321" s="129"/>
      <c r="G321" s="129"/>
      <c r="H321" s="130"/>
      <c r="I321" s="40"/>
      <c r="J321" s="40"/>
      <c r="K321" s="550"/>
      <c r="L321" s="47"/>
      <c r="M321" s="47"/>
    </row>
    <row r="322" spans="1:13" ht="15" customHeight="1">
      <c r="A322" s="550"/>
      <c r="B322" s="178"/>
      <c r="C322" s="112"/>
      <c r="D322" s="178"/>
      <c r="E322" s="178"/>
      <c r="F322" s="129"/>
      <c r="G322" s="129"/>
      <c r="H322" s="130"/>
      <c r="I322" s="40"/>
      <c r="J322" s="40"/>
      <c r="K322" s="550"/>
      <c r="L322" s="47"/>
      <c r="M322" s="47"/>
    </row>
    <row r="323" spans="1:13" ht="15" customHeight="1">
      <c r="A323" s="550"/>
      <c r="B323" s="178"/>
      <c r="C323" s="112"/>
      <c r="D323" s="178"/>
      <c r="E323" s="178"/>
      <c r="F323" s="129"/>
      <c r="G323" s="129"/>
      <c r="H323" s="130"/>
      <c r="I323" s="40"/>
      <c r="J323" s="40"/>
      <c r="K323" s="550"/>
      <c r="L323" s="47"/>
      <c r="M323" s="47"/>
    </row>
    <row r="324" spans="1:13" ht="15" customHeight="1">
      <c r="A324" s="550"/>
      <c r="B324" s="178"/>
      <c r="C324" s="112"/>
      <c r="D324" s="178"/>
      <c r="E324" s="178"/>
      <c r="F324" s="129"/>
      <c r="G324" s="129"/>
      <c r="H324" s="130"/>
      <c r="I324" s="40"/>
      <c r="J324" s="40"/>
      <c r="K324" s="550"/>
      <c r="L324" s="47"/>
      <c r="M324" s="47"/>
    </row>
    <row r="325" spans="1:13" ht="15" customHeight="1">
      <c r="A325" s="550"/>
      <c r="B325" s="178"/>
      <c r="C325" s="112"/>
      <c r="D325" s="178"/>
      <c r="E325" s="178"/>
      <c r="F325" s="129"/>
      <c r="G325" s="129"/>
      <c r="H325" s="130"/>
      <c r="I325" s="40"/>
      <c r="J325" s="40"/>
      <c r="K325" s="550"/>
      <c r="L325" s="47"/>
      <c r="M325" s="47"/>
    </row>
    <row r="326" spans="1:13" ht="15" customHeight="1">
      <c r="A326" s="550"/>
      <c r="B326" s="178"/>
      <c r="C326" s="112"/>
      <c r="D326" s="178"/>
      <c r="E326" s="178"/>
      <c r="F326" s="129"/>
      <c r="G326" s="129"/>
      <c r="H326" s="130"/>
      <c r="I326" s="40"/>
      <c r="J326" s="40"/>
      <c r="K326" s="550"/>
      <c r="L326" s="47"/>
      <c r="M326" s="47"/>
    </row>
    <row r="327" spans="1:13" ht="15" customHeight="1">
      <c r="A327" s="550"/>
      <c r="B327" s="178"/>
      <c r="C327" s="112"/>
      <c r="D327" s="178"/>
      <c r="E327" s="178"/>
      <c r="F327" s="129"/>
      <c r="G327" s="129"/>
      <c r="H327" s="130"/>
      <c r="I327" s="40"/>
      <c r="J327" s="40"/>
      <c r="K327" s="550"/>
      <c r="L327" s="47"/>
      <c r="M327" s="47"/>
    </row>
    <row r="328" spans="1:13" ht="15" customHeight="1">
      <c r="A328" s="550"/>
      <c r="B328" s="178"/>
      <c r="C328" s="112"/>
      <c r="D328" s="178"/>
      <c r="E328" s="178"/>
      <c r="F328" s="129"/>
      <c r="G328" s="129"/>
      <c r="H328" s="130"/>
      <c r="I328" s="40"/>
      <c r="J328" s="40"/>
      <c r="K328" s="550"/>
      <c r="L328" s="47"/>
      <c r="M328" s="47"/>
    </row>
    <row r="329" spans="1:13" ht="15" customHeight="1">
      <c r="A329" s="550"/>
      <c r="B329" s="178"/>
      <c r="C329" s="112"/>
      <c r="D329" s="178"/>
      <c r="E329" s="178"/>
      <c r="F329" s="129"/>
      <c r="G329" s="129"/>
      <c r="H329" s="130"/>
      <c r="I329" s="40"/>
      <c r="J329" s="40"/>
      <c r="K329" s="550"/>
      <c r="L329" s="47"/>
      <c r="M329" s="47"/>
    </row>
    <row r="330" spans="1:13" ht="15" customHeight="1">
      <c r="A330" s="550"/>
      <c r="B330" s="178"/>
      <c r="C330" s="112"/>
      <c r="D330" s="178"/>
      <c r="E330" s="178"/>
      <c r="F330" s="129"/>
      <c r="G330" s="129"/>
      <c r="H330" s="130"/>
      <c r="I330" s="40"/>
      <c r="J330" s="40"/>
      <c r="K330" s="550"/>
      <c r="L330" s="47"/>
      <c r="M330" s="47"/>
    </row>
    <row r="331" spans="1:13" ht="15" customHeight="1">
      <c r="A331" s="550"/>
      <c r="B331" s="178"/>
      <c r="C331" s="112"/>
      <c r="D331" s="178"/>
      <c r="E331" s="178"/>
      <c r="F331" s="129"/>
      <c r="G331" s="129"/>
      <c r="H331" s="130"/>
      <c r="I331" s="40"/>
      <c r="J331" s="40"/>
      <c r="K331" s="550"/>
      <c r="L331" s="47"/>
      <c r="M331" s="47"/>
    </row>
    <row r="332" spans="1:13" ht="15" customHeight="1">
      <c r="A332" s="550"/>
      <c r="B332" s="178"/>
      <c r="C332" s="112"/>
      <c r="D332" s="178"/>
      <c r="E332" s="178"/>
      <c r="F332" s="129"/>
      <c r="G332" s="129"/>
      <c r="H332" s="130"/>
      <c r="I332" s="40"/>
      <c r="J332" s="40"/>
      <c r="K332" s="550"/>
      <c r="L332" s="47"/>
      <c r="M332" s="47"/>
    </row>
    <row r="333" spans="1:13" ht="15" customHeight="1">
      <c r="A333" s="550"/>
      <c r="B333" s="178"/>
      <c r="C333" s="112"/>
      <c r="D333" s="178"/>
      <c r="E333" s="178"/>
      <c r="F333" s="129"/>
      <c r="G333" s="129"/>
      <c r="H333" s="130"/>
      <c r="I333" s="40"/>
      <c r="J333" s="40"/>
      <c r="K333" s="550"/>
      <c r="L333" s="47"/>
      <c r="M333" s="47"/>
    </row>
    <row r="334" spans="1:13" ht="15" customHeight="1">
      <c r="A334" s="550"/>
      <c r="B334" s="178"/>
      <c r="C334" s="112"/>
      <c r="D334" s="178"/>
      <c r="E334" s="178"/>
      <c r="F334" s="129"/>
      <c r="G334" s="129"/>
      <c r="H334" s="130"/>
      <c r="I334" s="40"/>
      <c r="J334" s="40"/>
      <c r="K334" s="550"/>
      <c r="L334" s="47"/>
      <c r="M334" s="47"/>
    </row>
    <row r="335" spans="1:13" ht="15" customHeight="1">
      <c r="A335" s="550"/>
      <c r="B335" s="178"/>
      <c r="C335" s="112"/>
      <c r="D335" s="178"/>
      <c r="E335" s="178"/>
      <c r="F335" s="129"/>
      <c r="G335" s="129"/>
      <c r="H335" s="130"/>
      <c r="I335" s="40"/>
      <c r="J335" s="40"/>
      <c r="K335" s="550"/>
      <c r="L335" s="47"/>
      <c r="M335" s="47"/>
    </row>
    <row r="336" spans="1:13" ht="15" customHeight="1">
      <c r="A336" s="550"/>
      <c r="B336" s="178"/>
      <c r="C336" s="112"/>
      <c r="D336" s="178"/>
      <c r="E336" s="178"/>
      <c r="F336" s="129"/>
      <c r="G336" s="129"/>
      <c r="H336" s="130"/>
      <c r="I336" s="40"/>
      <c r="J336" s="40"/>
      <c r="K336" s="550"/>
      <c r="L336" s="47"/>
      <c r="M336" s="47"/>
    </row>
    <row r="337" spans="1:13" ht="15" customHeight="1">
      <c r="A337" s="550"/>
      <c r="B337" s="178"/>
      <c r="C337" s="112"/>
      <c r="D337" s="178"/>
      <c r="E337" s="178"/>
      <c r="F337" s="129"/>
      <c r="G337" s="129"/>
      <c r="H337" s="130"/>
      <c r="I337" s="40"/>
      <c r="J337" s="40"/>
      <c r="K337" s="550"/>
      <c r="L337" s="47"/>
      <c r="M337" s="47"/>
    </row>
    <row r="338" spans="1:13" ht="15" customHeight="1">
      <c r="A338" s="550"/>
      <c r="B338" s="178"/>
      <c r="C338" s="112"/>
      <c r="D338" s="178"/>
      <c r="E338" s="178"/>
      <c r="F338" s="129"/>
      <c r="G338" s="129"/>
      <c r="H338" s="130"/>
      <c r="I338" s="40"/>
      <c r="J338" s="40"/>
      <c r="K338" s="550"/>
      <c r="L338" s="47"/>
      <c r="M338" s="47"/>
    </row>
    <row r="339" spans="1:13" ht="15" customHeight="1">
      <c r="A339" s="550"/>
      <c r="B339" s="178"/>
      <c r="C339" s="112"/>
      <c r="D339" s="178"/>
      <c r="E339" s="178"/>
      <c r="F339" s="129"/>
      <c r="G339" s="129"/>
      <c r="H339" s="129"/>
      <c r="I339" s="40"/>
      <c r="J339" s="40"/>
      <c r="K339" s="550"/>
      <c r="L339" s="47"/>
      <c r="M339" s="47"/>
    </row>
    <row r="340" spans="1:13" ht="15" customHeight="1">
      <c r="A340" s="550"/>
      <c r="B340" s="178"/>
      <c r="C340" s="112"/>
      <c r="D340" s="178"/>
      <c r="E340" s="178"/>
      <c r="F340" s="129"/>
      <c r="G340" s="129"/>
      <c r="H340" s="130"/>
      <c r="I340" s="40"/>
      <c r="J340" s="40"/>
      <c r="K340" s="550"/>
      <c r="L340" s="47"/>
      <c r="M340" s="47"/>
    </row>
    <row r="341" spans="1:13" ht="15" customHeight="1">
      <c r="A341" s="550"/>
      <c r="B341" s="178"/>
      <c r="C341" s="112"/>
      <c r="D341" s="178"/>
      <c r="E341" s="178"/>
      <c r="F341" s="129"/>
      <c r="G341" s="129"/>
      <c r="H341" s="130"/>
      <c r="I341" s="47"/>
      <c r="J341" s="47"/>
      <c r="K341" s="550"/>
      <c r="L341" s="47"/>
      <c r="M341" s="47"/>
    </row>
    <row r="342" spans="1:13" ht="15" customHeight="1">
      <c r="A342" s="550"/>
      <c r="B342" s="178"/>
      <c r="C342" s="112"/>
      <c r="D342" s="178"/>
      <c r="E342" s="178"/>
      <c r="F342" s="129"/>
      <c r="G342" s="129"/>
      <c r="H342" s="130"/>
      <c r="I342" s="47"/>
      <c r="J342" s="47"/>
      <c r="K342" s="550"/>
      <c r="L342" s="47"/>
      <c r="M342" s="47"/>
    </row>
    <row r="343" spans="1:13" ht="15" customHeight="1">
      <c r="A343" s="550"/>
      <c r="B343" s="178"/>
      <c r="C343" s="112"/>
      <c r="D343" s="178"/>
      <c r="E343" s="178"/>
      <c r="F343" s="129"/>
      <c r="G343" s="129"/>
      <c r="H343" s="130"/>
      <c r="I343" s="47"/>
      <c r="J343" s="47"/>
      <c r="K343" s="550"/>
      <c r="L343" s="47"/>
      <c r="M343" s="47"/>
    </row>
    <row r="344" spans="1:13" ht="15" customHeight="1">
      <c r="A344" s="550"/>
      <c r="B344" s="178"/>
      <c r="C344" s="112"/>
      <c r="D344" s="178"/>
      <c r="E344" s="178"/>
      <c r="F344" s="129"/>
      <c r="G344" s="129"/>
      <c r="H344" s="130"/>
      <c r="I344" s="47"/>
      <c r="J344" s="47"/>
      <c r="K344" s="39"/>
      <c r="L344" s="47"/>
      <c r="M344" s="47"/>
    </row>
    <row r="345" spans="1:13" ht="15" customHeight="1">
      <c r="A345" s="550"/>
      <c r="B345" s="178"/>
      <c r="C345" s="112"/>
      <c r="D345" s="178"/>
      <c r="E345" s="178"/>
      <c r="F345" s="129"/>
      <c r="G345" s="129"/>
      <c r="H345" s="129"/>
      <c r="I345" s="47"/>
      <c r="J345" s="47"/>
      <c r="K345" s="39"/>
      <c r="L345" s="47"/>
      <c r="M345" s="47"/>
    </row>
    <row r="346" spans="1:13" ht="15" customHeight="1">
      <c r="A346" s="550"/>
      <c r="B346" s="178"/>
      <c r="C346" s="112"/>
      <c r="D346" s="178"/>
      <c r="E346" s="178"/>
      <c r="F346" s="129"/>
      <c r="G346" s="129"/>
      <c r="H346" s="130"/>
      <c r="I346" s="47"/>
      <c r="J346" s="47"/>
      <c r="K346" s="39"/>
      <c r="L346" s="47"/>
      <c r="M346" s="47"/>
    </row>
    <row r="347" spans="1:13" ht="15" customHeight="1">
      <c r="A347" s="550"/>
      <c r="B347" s="178"/>
      <c r="C347" s="112"/>
      <c r="D347" s="178"/>
      <c r="E347" s="178"/>
      <c r="F347" s="129"/>
      <c r="G347" s="129"/>
      <c r="H347" s="130"/>
      <c r="I347" s="47"/>
      <c r="J347" s="47"/>
      <c r="K347" s="550"/>
      <c r="L347" s="47"/>
      <c r="M347" s="47"/>
    </row>
    <row r="348" spans="1:13" ht="15" customHeight="1">
      <c r="A348" s="550"/>
      <c r="B348" s="178"/>
      <c r="C348" s="112"/>
      <c r="D348" s="178"/>
      <c r="E348" s="178"/>
      <c r="F348" s="129"/>
      <c r="G348" s="129"/>
      <c r="H348" s="130"/>
      <c r="I348" s="47"/>
      <c r="J348" s="47"/>
      <c r="K348" s="550"/>
      <c r="L348" s="47"/>
      <c r="M348" s="47"/>
    </row>
    <row r="349" spans="1:13" ht="15" customHeight="1">
      <c r="A349" s="550"/>
      <c r="B349" s="178"/>
      <c r="C349" s="112"/>
      <c r="D349" s="178"/>
      <c r="E349" s="178"/>
      <c r="F349" s="129"/>
      <c r="G349" s="129"/>
      <c r="H349" s="130"/>
      <c r="I349" s="47"/>
      <c r="J349" s="47"/>
      <c r="K349" s="550"/>
      <c r="L349" s="47"/>
      <c r="M349" s="47"/>
    </row>
    <row r="350" spans="1:13" ht="15" customHeight="1">
      <c r="A350" s="550"/>
      <c r="B350" s="178"/>
      <c r="C350" s="112"/>
      <c r="D350" s="178"/>
      <c r="E350" s="178"/>
      <c r="F350" s="129"/>
      <c r="G350" s="129"/>
      <c r="H350" s="130"/>
      <c r="I350" s="47"/>
      <c r="J350" s="47"/>
      <c r="K350" s="550"/>
      <c r="L350" s="47"/>
      <c r="M350" s="47"/>
    </row>
    <row r="351" spans="1:13" ht="15" customHeight="1">
      <c r="A351" s="550"/>
      <c r="B351" s="178"/>
      <c r="C351" s="112"/>
      <c r="D351" s="178"/>
      <c r="E351" s="178"/>
      <c r="F351" s="129"/>
      <c r="G351" s="129"/>
      <c r="H351" s="130"/>
      <c r="I351" s="47"/>
      <c r="J351" s="47"/>
      <c r="K351" s="550"/>
      <c r="L351" s="47"/>
      <c r="M351" s="47"/>
    </row>
    <row r="352" spans="1:13" ht="15" customHeight="1">
      <c r="A352" s="550"/>
      <c r="B352" s="178"/>
      <c r="C352" s="112"/>
      <c r="D352" s="178"/>
      <c r="E352" s="178"/>
      <c r="F352" s="129"/>
      <c r="G352" s="129"/>
      <c r="H352" s="130"/>
      <c r="I352" s="47"/>
      <c r="J352" s="47"/>
      <c r="K352" s="550"/>
      <c r="L352" s="47"/>
      <c r="M352" s="47"/>
    </row>
    <row r="353" spans="1:13" ht="15" customHeight="1">
      <c r="A353" s="550"/>
      <c r="B353" s="178"/>
      <c r="C353" s="112"/>
      <c r="D353" s="178"/>
      <c r="E353" s="178"/>
      <c r="F353" s="129"/>
      <c r="G353" s="129"/>
      <c r="H353" s="130"/>
      <c r="I353" s="47"/>
      <c r="J353" s="47"/>
      <c r="K353" s="550"/>
      <c r="L353" s="47"/>
      <c r="M353" s="47"/>
    </row>
    <row r="354" spans="1:13" ht="15" customHeight="1">
      <c r="A354" s="550"/>
      <c r="B354" s="178"/>
      <c r="C354" s="112"/>
      <c r="D354" s="178"/>
      <c r="E354" s="178"/>
      <c r="F354" s="129"/>
      <c r="G354" s="129"/>
      <c r="H354" s="130"/>
      <c r="I354" s="47"/>
      <c r="J354" s="47"/>
      <c r="K354" s="550"/>
      <c r="L354" s="47"/>
      <c r="M354" s="47"/>
    </row>
    <row r="355" spans="1:13" ht="15" customHeight="1">
      <c r="A355" s="550"/>
      <c r="B355" s="178"/>
      <c r="C355" s="112"/>
      <c r="D355" s="178"/>
      <c r="E355" s="178"/>
      <c r="F355" s="129"/>
      <c r="G355" s="129"/>
      <c r="H355" s="130"/>
      <c r="I355" s="47"/>
      <c r="J355" s="47"/>
      <c r="K355" s="550"/>
      <c r="L355" s="47"/>
      <c r="M355" s="47"/>
    </row>
    <row r="356" spans="1:13" ht="15" customHeight="1">
      <c r="A356" s="550"/>
      <c r="B356" s="178"/>
      <c r="C356" s="112"/>
      <c r="D356" s="178"/>
      <c r="E356" s="178"/>
      <c r="F356" s="129"/>
      <c r="G356" s="129"/>
      <c r="H356" s="130"/>
      <c r="I356" s="47"/>
      <c r="J356" s="47"/>
      <c r="K356" s="550"/>
      <c r="L356" s="47"/>
      <c r="M356" s="47"/>
    </row>
    <row r="357" spans="1:13" ht="15" customHeight="1">
      <c r="A357" s="550"/>
      <c r="B357" s="178"/>
      <c r="C357" s="112"/>
      <c r="D357" s="178"/>
      <c r="E357" s="178"/>
      <c r="F357" s="129"/>
      <c r="G357" s="129"/>
      <c r="H357" s="130"/>
      <c r="I357" s="47"/>
      <c r="J357" s="47"/>
      <c r="K357" s="550"/>
      <c r="L357" s="47"/>
      <c r="M357" s="47"/>
    </row>
    <row r="358" spans="1:13" ht="15" customHeight="1">
      <c r="A358" s="550"/>
      <c r="B358" s="178"/>
      <c r="C358" s="112"/>
      <c r="D358" s="178"/>
      <c r="E358" s="178"/>
      <c r="F358" s="129"/>
      <c r="G358" s="129"/>
      <c r="H358" s="130"/>
      <c r="I358" s="47"/>
      <c r="J358" s="47"/>
      <c r="K358" s="550"/>
      <c r="L358" s="47"/>
      <c r="M358" s="47"/>
    </row>
    <row r="359" spans="1:13" ht="15" customHeight="1">
      <c r="A359" s="550"/>
      <c r="B359" s="178"/>
      <c r="C359" s="112"/>
      <c r="D359" s="178"/>
      <c r="E359" s="178"/>
      <c r="F359" s="129"/>
      <c r="G359" s="129"/>
      <c r="H359" s="130"/>
      <c r="I359" s="47"/>
      <c r="J359" s="47"/>
      <c r="K359" s="550"/>
      <c r="L359" s="47"/>
      <c r="M359" s="47"/>
    </row>
    <row r="360" spans="1:13" ht="15" customHeight="1">
      <c r="A360" s="550"/>
      <c r="B360" s="178"/>
      <c r="C360" s="112"/>
      <c r="D360" s="178"/>
      <c r="E360" s="178"/>
      <c r="F360" s="129"/>
      <c r="G360" s="129"/>
      <c r="H360" s="130"/>
      <c r="I360" s="47"/>
      <c r="J360" s="47"/>
      <c r="K360" s="550"/>
      <c r="L360" s="47"/>
      <c r="M360" s="47"/>
    </row>
    <row r="361" spans="1:13" ht="15" customHeight="1">
      <c r="A361" s="550"/>
      <c r="B361" s="178"/>
      <c r="C361" s="112"/>
      <c r="D361" s="178"/>
      <c r="E361" s="178"/>
      <c r="F361" s="129"/>
      <c r="G361" s="129"/>
      <c r="H361" s="130"/>
      <c r="I361" s="47"/>
      <c r="J361" s="47"/>
      <c r="K361" s="550"/>
      <c r="L361" s="47"/>
      <c r="M361" s="47"/>
    </row>
    <row r="362" spans="1:13" ht="15" customHeight="1">
      <c r="A362" s="550"/>
      <c r="B362" s="178"/>
      <c r="C362" s="112"/>
      <c r="D362" s="178"/>
      <c r="E362" s="178"/>
      <c r="F362" s="129"/>
      <c r="G362" s="129"/>
      <c r="H362" s="130"/>
      <c r="I362" s="47"/>
      <c r="J362" s="47"/>
      <c r="K362" s="550"/>
      <c r="L362" s="47"/>
      <c r="M362" s="47"/>
    </row>
    <row r="363" spans="1:13" ht="15" customHeight="1">
      <c r="A363" s="550"/>
      <c r="B363" s="178"/>
      <c r="C363" s="112"/>
      <c r="D363" s="178"/>
      <c r="E363" s="178"/>
      <c r="F363" s="129"/>
      <c r="G363" s="129"/>
      <c r="H363" s="130"/>
      <c r="I363" s="47"/>
      <c r="J363" s="47"/>
      <c r="K363" s="550"/>
      <c r="L363" s="47"/>
      <c r="M363" s="47"/>
    </row>
    <row r="364" spans="1:13" ht="15" customHeight="1">
      <c r="A364" s="550"/>
      <c r="B364" s="178"/>
      <c r="C364" s="112"/>
      <c r="D364" s="178"/>
      <c r="E364" s="178"/>
      <c r="F364" s="129"/>
      <c r="G364" s="129"/>
      <c r="H364" s="130"/>
      <c r="I364" s="47"/>
      <c r="J364" s="47"/>
      <c r="K364" s="550"/>
      <c r="L364" s="47"/>
      <c r="M364" s="47"/>
    </row>
    <row r="365" spans="1:13" ht="18.75" customHeight="1">
      <c r="A365" s="550"/>
      <c r="B365" s="178"/>
      <c r="C365" s="112"/>
      <c r="D365" s="178"/>
      <c r="E365" s="39"/>
      <c r="F365" s="267"/>
      <c r="G365" s="267"/>
      <c r="H365" s="268"/>
      <c r="I365" s="47"/>
      <c r="J365" s="47"/>
      <c r="K365" s="550"/>
      <c r="L365" s="47"/>
      <c r="M365" s="47"/>
    </row>
    <row r="366" spans="1:13" ht="14.25" customHeight="1">
      <c r="A366" s="550"/>
      <c r="B366" s="178"/>
      <c r="C366" s="112"/>
      <c r="D366" s="178"/>
      <c r="E366" s="178"/>
      <c r="I366" s="47"/>
      <c r="J366" s="47"/>
      <c r="K366" s="550"/>
      <c r="L366" s="47"/>
      <c r="M366" s="47"/>
    </row>
    <row r="367" spans="1:13" ht="18.75" customHeight="1">
      <c r="A367" s="550"/>
      <c r="B367" s="178"/>
      <c r="C367" s="112"/>
      <c r="D367" s="178"/>
      <c r="E367" s="178"/>
      <c r="F367" s="128"/>
      <c r="G367" s="128"/>
      <c r="I367" s="11"/>
      <c r="J367" s="11"/>
      <c r="K367" s="92"/>
      <c r="L367" s="11"/>
      <c r="M367" s="47"/>
    </row>
    <row r="371" spans="6:8" ht="12.75">
      <c r="F371" s="33"/>
      <c r="G371" s="33"/>
      <c r="H371" s="132"/>
    </row>
    <row r="376" ht="12.75">
      <c r="F376" s="128"/>
    </row>
    <row r="377" spans="4:6" ht="20.25">
      <c r="D377" s="102"/>
      <c r="E377" s="102"/>
      <c r="F377" s="102"/>
    </row>
    <row r="378" spans="4:6" ht="20.25">
      <c r="D378" s="103"/>
      <c r="E378" s="103"/>
      <c r="F378" s="103"/>
    </row>
    <row r="379" spans="4:6" ht="18">
      <c r="D379" s="269"/>
      <c r="E379" s="11"/>
      <c r="F379" s="90"/>
    </row>
    <row r="380" spans="4:6" ht="18">
      <c r="D380" s="269"/>
      <c r="E380" s="11"/>
      <c r="F380" s="90"/>
    </row>
    <row r="383" ht="20.25">
      <c r="D383" s="102"/>
    </row>
    <row r="384" ht="20.25">
      <c r="D384" s="270"/>
    </row>
  </sheetData>
  <sheetProtection/>
  <mergeCells count="67">
    <mergeCell ref="H3:H4"/>
    <mergeCell ref="B3:C4"/>
    <mergeCell ref="A37:A43"/>
    <mergeCell ref="A73:A76"/>
    <mergeCell ref="A78:A81"/>
    <mergeCell ref="I79:K79"/>
    <mergeCell ref="A59:A61"/>
    <mergeCell ref="A63:C63"/>
    <mergeCell ref="A51:A53"/>
    <mergeCell ref="A55:A57"/>
    <mergeCell ref="B1:G1"/>
    <mergeCell ref="A31:A32"/>
    <mergeCell ref="A34:A35"/>
    <mergeCell ref="A46:A49"/>
    <mergeCell ref="E3:E4"/>
    <mergeCell ref="D3:D4"/>
    <mergeCell ref="A3:A4"/>
    <mergeCell ref="A12:A14"/>
    <mergeCell ref="A16:A19"/>
    <mergeCell ref="A21:A24"/>
    <mergeCell ref="B5:C5"/>
    <mergeCell ref="A7:A10"/>
    <mergeCell ref="A28:A29"/>
    <mergeCell ref="A183:A187"/>
    <mergeCell ref="A127:A129"/>
    <mergeCell ref="A6:C6"/>
    <mergeCell ref="A90:A93"/>
    <mergeCell ref="A97:C97"/>
    <mergeCell ref="A99:A101"/>
    <mergeCell ref="A112:A118"/>
    <mergeCell ref="A65:A71"/>
    <mergeCell ref="F310:G310"/>
    <mergeCell ref="A107:A109"/>
    <mergeCell ref="A123:A125"/>
    <mergeCell ref="A196:A200"/>
    <mergeCell ref="A202:A205"/>
    <mergeCell ref="A105:C105"/>
    <mergeCell ref="A133:A136"/>
    <mergeCell ref="A168:C168"/>
    <mergeCell ref="A170:A175"/>
    <mergeCell ref="A177:A181"/>
    <mergeCell ref="A138:A140"/>
    <mergeCell ref="A146:A149"/>
    <mergeCell ref="A150:A155"/>
    <mergeCell ref="A157:A158"/>
    <mergeCell ref="A142:A144"/>
    <mergeCell ref="A160:A162"/>
    <mergeCell ref="A207:A210"/>
    <mergeCell ref="A212:A213"/>
    <mergeCell ref="A307:A309"/>
    <mergeCell ref="A269:A270"/>
    <mergeCell ref="A277:A281"/>
    <mergeCell ref="A284:A286"/>
    <mergeCell ref="A289:C289"/>
    <mergeCell ref="A291:A295"/>
    <mergeCell ref="A297:A299"/>
    <mergeCell ref="A300:A302"/>
    <mergeCell ref="A189:A194"/>
    <mergeCell ref="A304:A306"/>
    <mergeCell ref="A250:A258"/>
    <mergeCell ref="A260:A265"/>
    <mergeCell ref="A228:A232"/>
    <mergeCell ref="A234:A238"/>
    <mergeCell ref="A244:A248"/>
    <mergeCell ref="A214:A217"/>
    <mergeCell ref="A219:C219"/>
    <mergeCell ref="A220:A226"/>
  </mergeCells>
  <printOptions/>
  <pageMargins left="0.7" right="0.16" top="0.55" bottom="0.26" header="0.3" footer="0.16"/>
  <pageSetup horizontalDpi="600" verticalDpi="600" orientation="landscape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83"/>
  <sheetViews>
    <sheetView zoomScale="91" zoomScaleNormal="91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I61" sqref="I61"/>
    </sheetView>
  </sheetViews>
  <sheetFormatPr defaultColWidth="9.140625" defaultRowHeight="12.75"/>
  <cols>
    <col min="1" max="1" width="4.57421875" style="540" customWidth="1"/>
    <col min="2" max="2" width="49.28125" style="1" customWidth="1"/>
    <col min="3" max="3" width="12.7109375" style="1" customWidth="1"/>
    <col min="4" max="4" width="5.8515625" style="1" customWidth="1"/>
    <col min="5" max="5" width="10.00390625" style="1" customWidth="1"/>
    <col min="6" max="6" width="5.8515625" style="1" customWidth="1"/>
    <col min="7" max="7" width="16.140625" style="1" customWidth="1"/>
    <col min="8" max="8" width="9.140625" style="1" customWidth="1"/>
    <col min="9" max="9" width="19.7109375" style="1" customWidth="1"/>
    <col min="10" max="10" width="6.140625" style="1" customWidth="1"/>
    <col min="11" max="11" width="19.8515625" style="1" customWidth="1"/>
    <col min="12" max="12" width="21.00390625" style="1" customWidth="1"/>
    <col min="13" max="13" width="21.140625" style="1" customWidth="1"/>
    <col min="14" max="14" width="9.140625" style="1" customWidth="1"/>
    <col min="15" max="15" width="10.421875" style="1" customWidth="1"/>
    <col min="16" max="16384" width="9.140625" style="1" customWidth="1"/>
  </cols>
  <sheetData>
    <row r="1" spans="1:11" ht="18.75" customHeight="1">
      <c r="A1" s="363"/>
      <c r="B1" s="91"/>
      <c r="C1" s="1060" t="s">
        <v>1481</v>
      </c>
      <c r="D1" s="1060"/>
      <c r="E1" s="1060"/>
      <c r="F1" s="1060"/>
      <c r="G1" s="1060"/>
      <c r="H1" s="91"/>
      <c r="I1" s="91"/>
      <c r="J1" s="91"/>
      <c r="K1" s="91"/>
    </row>
    <row r="2" spans="1:11" ht="12" customHeight="1">
      <c r="A2" s="363"/>
      <c r="B2" s="91"/>
      <c r="C2" s="91"/>
      <c r="D2" s="92"/>
      <c r="E2" s="92"/>
      <c r="F2" s="92"/>
      <c r="G2" s="91"/>
      <c r="H2" s="91"/>
      <c r="I2" s="91"/>
      <c r="J2" s="91"/>
      <c r="K2" s="91"/>
    </row>
    <row r="3" spans="1:11" ht="48.75" customHeight="1">
      <c r="A3" s="363"/>
      <c r="B3" s="1068" t="s">
        <v>1457</v>
      </c>
      <c r="C3" s="1068"/>
      <c r="D3" s="1068"/>
      <c r="E3" s="1068"/>
      <c r="F3" s="1068"/>
      <c r="G3" s="1068"/>
      <c r="H3" s="1068"/>
      <c r="I3" s="1068"/>
      <c r="J3" s="1068"/>
      <c r="K3" s="235"/>
    </row>
    <row r="4" spans="1:11" ht="10.5" customHeight="1">
      <c r="A4" s="367"/>
      <c r="B4" s="368"/>
      <c r="C4" s="368"/>
      <c r="D4" s="368"/>
      <c r="E4" s="368"/>
      <c r="F4" s="40"/>
      <c r="G4" s="40"/>
      <c r="H4" s="40"/>
      <c r="I4" s="40"/>
      <c r="J4" s="365"/>
      <c r="K4" s="365"/>
    </row>
    <row r="5" spans="1:11" ht="15" customHeight="1">
      <c r="A5" s="367"/>
      <c r="B5" s="367"/>
      <c r="C5" s="367"/>
      <c r="D5" s="367"/>
      <c r="E5" s="367"/>
      <c r="F5" s="367"/>
      <c r="G5" s="367"/>
      <c r="H5" s="367"/>
      <c r="I5" s="365"/>
      <c r="J5" s="1138" t="s">
        <v>1823</v>
      </c>
      <c r="K5" s="1138"/>
    </row>
    <row r="6" spans="1:11" ht="10.5" customHeight="1">
      <c r="A6" s="367"/>
      <c r="B6" s="367"/>
      <c r="C6" s="367"/>
      <c r="D6" s="367"/>
      <c r="E6" s="367"/>
      <c r="F6" s="367"/>
      <c r="G6" s="367"/>
      <c r="H6" s="367"/>
      <c r="I6" s="371"/>
      <c r="J6" s="367"/>
      <c r="K6" s="367"/>
    </row>
    <row r="7" spans="1:12" ht="107.25" customHeight="1">
      <c r="A7" s="1081" t="s">
        <v>1225</v>
      </c>
      <c r="B7" s="1081" t="s">
        <v>16</v>
      </c>
      <c r="C7" s="1081" t="s">
        <v>1389</v>
      </c>
      <c r="D7" s="1081" t="s">
        <v>17</v>
      </c>
      <c r="E7" s="1081" t="s">
        <v>309</v>
      </c>
      <c r="F7" s="1081" t="s">
        <v>1482</v>
      </c>
      <c r="G7" s="1081"/>
      <c r="H7" s="1081" t="s">
        <v>1483</v>
      </c>
      <c r="I7" s="1081"/>
      <c r="J7" s="1081" t="s">
        <v>1484</v>
      </c>
      <c r="K7" s="1081"/>
      <c r="L7" s="369" t="s">
        <v>1109</v>
      </c>
    </row>
    <row r="8" spans="1:11" ht="17.25" customHeight="1">
      <c r="A8" s="1081"/>
      <c r="B8" s="1081"/>
      <c r="C8" s="1081"/>
      <c r="D8" s="1081"/>
      <c r="E8" s="1081"/>
      <c r="F8" s="529" t="s">
        <v>20</v>
      </c>
      <c r="G8" s="529" t="s">
        <v>1176</v>
      </c>
      <c r="H8" s="529" t="s">
        <v>20</v>
      </c>
      <c r="I8" s="529" t="s">
        <v>1176</v>
      </c>
      <c r="J8" s="529" t="s">
        <v>20</v>
      </c>
      <c r="K8" s="529" t="s">
        <v>1176</v>
      </c>
    </row>
    <row r="9" spans="1:11" ht="15">
      <c r="A9" s="372" t="s">
        <v>910</v>
      </c>
      <c r="B9" s="372" t="s">
        <v>911</v>
      </c>
      <c r="C9" s="373">
        <v>3</v>
      </c>
      <c r="D9" s="372">
        <v>4</v>
      </c>
      <c r="E9" s="372">
        <v>5</v>
      </c>
      <c r="F9" s="372">
        <v>6</v>
      </c>
      <c r="G9" s="372">
        <v>7</v>
      </c>
      <c r="H9" s="372">
        <v>6</v>
      </c>
      <c r="I9" s="372">
        <v>7</v>
      </c>
      <c r="J9" s="372">
        <v>6</v>
      </c>
      <c r="K9" s="372">
        <v>7</v>
      </c>
    </row>
    <row r="10" spans="1:11" ht="45.75" customHeight="1">
      <c r="A10" s="895" t="s">
        <v>1462</v>
      </c>
      <c r="B10" s="896" t="s">
        <v>1463</v>
      </c>
      <c r="C10" s="62">
        <v>7130600675</v>
      </c>
      <c r="D10" s="42" t="s">
        <v>907</v>
      </c>
      <c r="E10" s="897">
        <f>VLOOKUP(C10,'SOR RATE'!A:D,4,0)/1000</f>
        <v>44.915519999999994</v>
      </c>
      <c r="F10" s="42"/>
      <c r="G10" s="898"/>
      <c r="H10" s="719">
        <v>3626.07</v>
      </c>
      <c r="I10" s="899">
        <f>H10*E10</f>
        <v>162866.81960639998</v>
      </c>
      <c r="J10" s="42"/>
      <c r="K10" s="898"/>
    </row>
    <row r="11" spans="1:11" ht="30.75" customHeight="1">
      <c r="A11" s="895" t="s">
        <v>1329</v>
      </c>
      <c r="B11" s="860" t="s">
        <v>1464</v>
      </c>
      <c r="C11" s="62">
        <v>7130601958</v>
      </c>
      <c r="D11" s="42" t="s">
        <v>907</v>
      </c>
      <c r="E11" s="897">
        <f>VLOOKUP(C11,'SOR RATE'!A:D,4,0)/1000</f>
        <v>46.40388</v>
      </c>
      <c r="F11" s="42"/>
      <c r="G11" s="899"/>
      <c r="H11" s="42"/>
      <c r="I11" s="898"/>
      <c r="J11" s="900">
        <v>6678</v>
      </c>
      <c r="K11" s="899">
        <f>J11*E11</f>
        <v>309885.11064</v>
      </c>
    </row>
    <row r="12" spans="1:11" ht="18" customHeight="1">
      <c r="A12" s="895" t="s">
        <v>1465</v>
      </c>
      <c r="B12" s="901" t="s">
        <v>1466</v>
      </c>
      <c r="C12" s="754">
        <v>7130800012</v>
      </c>
      <c r="D12" s="902" t="s">
        <v>19</v>
      </c>
      <c r="E12" s="897">
        <f>VLOOKUP(C12,'SOR RATE'!A:D,4,0)</f>
        <v>2255.2</v>
      </c>
      <c r="F12" s="898">
        <v>20</v>
      </c>
      <c r="G12" s="899">
        <f aca="true" t="shared" si="0" ref="G12:G18">F12*E12</f>
        <v>45104</v>
      </c>
      <c r="H12" s="898"/>
      <c r="I12" s="898"/>
      <c r="J12" s="898"/>
      <c r="K12" s="899"/>
    </row>
    <row r="13" spans="1:16" ht="42.75" customHeight="1">
      <c r="A13" s="895">
        <v>2</v>
      </c>
      <c r="B13" s="896" t="s">
        <v>27</v>
      </c>
      <c r="C13" s="62">
        <v>7130797533</v>
      </c>
      <c r="D13" s="42" t="s">
        <v>19</v>
      </c>
      <c r="E13" s="897">
        <f>VLOOKUP(C13,'SOR RATE'!A:D,4,0)</f>
        <v>428.94</v>
      </c>
      <c r="F13" s="898">
        <v>15</v>
      </c>
      <c r="G13" s="899">
        <f t="shared" si="0"/>
        <v>6434.1</v>
      </c>
      <c r="H13" s="898">
        <v>15</v>
      </c>
      <c r="I13" s="899">
        <f aca="true" t="shared" si="1" ref="I13:I18">H13*E13</f>
        <v>6434.1</v>
      </c>
      <c r="J13" s="898">
        <v>15</v>
      </c>
      <c r="K13" s="899">
        <f aca="true" t="shared" si="2" ref="K13:K18">J13*E13</f>
        <v>6434.1</v>
      </c>
      <c r="L13" s="499"/>
      <c r="M13" s="38"/>
      <c r="N13" s="38"/>
      <c r="O13" s="38"/>
      <c r="P13" s="38"/>
    </row>
    <row r="14" spans="1:16" ht="42.75" customHeight="1">
      <c r="A14" s="895" t="s">
        <v>1467</v>
      </c>
      <c r="B14" s="903" t="s">
        <v>1162</v>
      </c>
      <c r="C14" s="62">
        <v>7130390003</v>
      </c>
      <c r="D14" s="42" t="s">
        <v>19</v>
      </c>
      <c r="E14" s="897">
        <f>VLOOKUP(C14,'SOR RATE'!A:D,4,0)</f>
        <v>84.3</v>
      </c>
      <c r="F14" s="898">
        <v>20</v>
      </c>
      <c r="G14" s="899">
        <f t="shared" si="0"/>
        <v>1686</v>
      </c>
      <c r="H14" s="898">
        <v>20</v>
      </c>
      <c r="I14" s="899">
        <f t="shared" si="1"/>
        <v>1686</v>
      </c>
      <c r="J14" s="898">
        <v>20</v>
      </c>
      <c r="K14" s="899">
        <f t="shared" si="2"/>
        <v>1686</v>
      </c>
      <c r="L14" s="499"/>
      <c r="M14" s="376"/>
      <c r="N14" s="376"/>
      <c r="O14" s="376"/>
      <c r="P14" s="376"/>
    </row>
    <row r="15" spans="1:16" ht="31.5" customHeight="1">
      <c r="A15" s="895" t="s">
        <v>4</v>
      </c>
      <c r="B15" s="903" t="s">
        <v>1163</v>
      </c>
      <c r="C15" s="554">
        <v>7130390004</v>
      </c>
      <c r="D15" s="42" t="s">
        <v>19</v>
      </c>
      <c r="E15" s="897">
        <f>VLOOKUP(C15,'SOR RATE'!A:D,4,0)</f>
        <v>109.82</v>
      </c>
      <c r="F15" s="898">
        <v>45</v>
      </c>
      <c r="G15" s="899">
        <f t="shared" si="0"/>
        <v>4941.9</v>
      </c>
      <c r="H15" s="898">
        <v>45</v>
      </c>
      <c r="I15" s="899">
        <f t="shared" si="1"/>
        <v>4941.9</v>
      </c>
      <c r="J15" s="898">
        <v>45</v>
      </c>
      <c r="K15" s="899">
        <f t="shared" si="2"/>
        <v>4941.9</v>
      </c>
      <c r="L15" s="397"/>
      <c r="M15" s="376"/>
      <c r="N15" s="376"/>
      <c r="O15" s="376"/>
      <c r="P15" s="376"/>
    </row>
    <row r="16" spans="1:16" ht="32.25" customHeight="1">
      <c r="A16" s="895" t="s">
        <v>5</v>
      </c>
      <c r="B16" s="903" t="s">
        <v>1164</v>
      </c>
      <c r="C16" s="554">
        <v>7130390005</v>
      </c>
      <c r="D16" s="42" t="s">
        <v>19</v>
      </c>
      <c r="E16" s="897">
        <f>VLOOKUP(C16,'SOR RATE'!A:D,4,0)</f>
        <v>153.07</v>
      </c>
      <c r="F16" s="898">
        <v>15</v>
      </c>
      <c r="G16" s="899">
        <f t="shared" si="0"/>
        <v>2296.0499999999997</v>
      </c>
      <c r="H16" s="898">
        <v>15</v>
      </c>
      <c r="I16" s="899">
        <f t="shared" si="1"/>
        <v>2296.0499999999997</v>
      </c>
      <c r="J16" s="898">
        <v>15</v>
      </c>
      <c r="K16" s="899">
        <f t="shared" si="2"/>
        <v>2296.0499999999997</v>
      </c>
      <c r="L16" s="499"/>
      <c r="M16" s="376"/>
      <c r="N16" s="376"/>
      <c r="O16" s="376"/>
      <c r="P16" s="376"/>
    </row>
    <row r="17" spans="1:12" ht="17.25" customHeight="1">
      <c r="A17" s="895">
        <v>4</v>
      </c>
      <c r="B17" s="896" t="s">
        <v>1469</v>
      </c>
      <c r="C17" s="554">
        <v>7130390006</v>
      </c>
      <c r="D17" s="42" t="s">
        <v>926</v>
      </c>
      <c r="E17" s="897">
        <f>VLOOKUP(C17,'SOR RATE'!A:D,4,0)</f>
        <v>119.8</v>
      </c>
      <c r="F17" s="898">
        <v>28</v>
      </c>
      <c r="G17" s="899">
        <f t="shared" si="0"/>
        <v>3354.4</v>
      </c>
      <c r="H17" s="898">
        <v>28</v>
      </c>
      <c r="I17" s="899">
        <f t="shared" si="1"/>
        <v>3354.4</v>
      </c>
      <c r="J17" s="898">
        <v>28</v>
      </c>
      <c r="K17" s="899">
        <f t="shared" si="2"/>
        <v>3354.4</v>
      </c>
      <c r="L17" s="499"/>
    </row>
    <row r="18" spans="1:15" ht="33.75" customHeight="1">
      <c r="A18" s="895">
        <v>5</v>
      </c>
      <c r="B18" s="896" t="s">
        <v>529</v>
      </c>
      <c r="C18" s="496">
        <v>7130797532</v>
      </c>
      <c r="D18" s="42" t="s">
        <v>19</v>
      </c>
      <c r="E18" s="897">
        <f>VLOOKUP(C18,'SOR RATE'!A:D,4,0)</f>
        <v>590.97</v>
      </c>
      <c r="F18" s="898">
        <v>14</v>
      </c>
      <c r="G18" s="899">
        <f t="shared" si="0"/>
        <v>8273.58</v>
      </c>
      <c r="H18" s="898">
        <v>14</v>
      </c>
      <c r="I18" s="899">
        <f t="shared" si="1"/>
        <v>8273.58</v>
      </c>
      <c r="J18" s="898">
        <v>14</v>
      </c>
      <c r="K18" s="899">
        <f t="shared" si="2"/>
        <v>8273.58</v>
      </c>
      <c r="L18" s="499"/>
      <c r="M18" s="499"/>
      <c r="N18" s="398"/>
      <c r="O18" s="398"/>
    </row>
    <row r="19" spans="1:11" ht="20.25" customHeight="1">
      <c r="A19" s="895">
        <v>6</v>
      </c>
      <c r="B19" s="904" t="s">
        <v>1470</v>
      </c>
      <c r="C19" s="905"/>
      <c r="D19" s="906"/>
      <c r="E19" s="906"/>
      <c r="F19" s="906"/>
      <c r="G19" s="906"/>
      <c r="H19" s="906"/>
      <c r="I19" s="906"/>
      <c r="J19" s="906"/>
      <c r="K19" s="907"/>
    </row>
    <row r="20" spans="1:12" ht="18" customHeight="1">
      <c r="A20" s="895" t="s">
        <v>1471</v>
      </c>
      <c r="B20" s="908" t="s">
        <v>1485</v>
      </c>
      <c r="C20" s="909">
        <v>7130300025</v>
      </c>
      <c r="D20" s="42" t="s">
        <v>980</v>
      </c>
      <c r="E20" s="897">
        <f>VLOOKUP(C20,'SOR RATE'!A:D,4,0)/1000</f>
        <v>155.83308</v>
      </c>
      <c r="F20" s="898">
        <v>1100</v>
      </c>
      <c r="G20" s="899">
        <f>F20*E20</f>
        <v>171416.388</v>
      </c>
      <c r="H20" s="898">
        <v>1100</v>
      </c>
      <c r="I20" s="899">
        <f>H20*E20</f>
        <v>171416.388</v>
      </c>
      <c r="J20" s="898">
        <v>1100</v>
      </c>
      <c r="K20" s="899">
        <f>J20*E20</f>
        <v>171416.388</v>
      </c>
      <c r="L20" s="299"/>
    </row>
    <row r="21" spans="1:11" ht="18" customHeight="1">
      <c r="A21" s="1139">
        <v>7</v>
      </c>
      <c r="B21" s="860" t="s">
        <v>1472</v>
      </c>
      <c r="C21" s="62">
        <v>7130860032</v>
      </c>
      <c r="D21" s="42" t="s">
        <v>19</v>
      </c>
      <c r="E21" s="897">
        <f>VLOOKUP(C21,'SOR RATE'!A:D,4,0)</f>
        <v>441.23</v>
      </c>
      <c r="F21" s="898">
        <v>12</v>
      </c>
      <c r="G21" s="899">
        <f>F21*E21</f>
        <v>5294.76</v>
      </c>
      <c r="H21" s="898">
        <v>12</v>
      </c>
      <c r="I21" s="899">
        <f>H21*E21</f>
        <v>5294.76</v>
      </c>
      <c r="J21" s="898">
        <v>12</v>
      </c>
      <c r="K21" s="899">
        <f>J21*E21</f>
        <v>5294.76</v>
      </c>
    </row>
    <row r="22" spans="1:11" ht="18" customHeight="1">
      <c r="A22" s="1140"/>
      <c r="B22" s="860" t="s">
        <v>1473</v>
      </c>
      <c r="C22" s="909">
        <v>7130860077</v>
      </c>
      <c r="D22" s="42" t="s">
        <v>907</v>
      </c>
      <c r="E22" s="897">
        <f>VLOOKUP(C22,'SOR RATE'!A:D,4,0)/1000</f>
        <v>70.43964</v>
      </c>
      <c r="F22" s="898">
        <v>72</v>
      </c>
      <c r="G22" s="899">
        <f>F22*E22</f>
        <v>5071.65408</v>
      </c>
      <c r="H22" s="898">
        <v>72</v>
      </c>
      <c r="I22" s="899">
        <f>H22*E22</f>
        <v>5071.65408</v>
      </c>
      <c r="J22" s="898">
        <v>72</v>
      </c>
      <c r="K22" s="899">
        <f>J22*E22</f>
        <v>5071.65408</v>
      </c>
    </row>
    <row r="23" spans="1:11" ht="18" customHeight="1">
      <c r="A23" s="1141"/>
      <c r="B23" s="860" t="s">
        <v>1355</v>
      </c>
      <c r="C23" s="839">
        <v>7130810026</v>
      </c>
      <c r="D23" s="870" t="s">
        <v>745</v>
      </c>
      <c r="E23" s="897">
        <f>VLOOKUP(C23,'SOR RATE'!A182:D182,4,0)</f>
        <v>155.99</v>
      </c>
      <c r="F23" s="898">
        <v>12</v>
      </c>
      <c r="G23" s="899">
        <f>F23*E23</f>
        <v>1871.88</v>
      </c>
      <c r="H23" s="898">
        <v>12</v>
      </c>
      <c r="I23" s="899">
        <f>H23*E23</f>
        <v>1871.88</v>
      </c>
      <c r="J23" s="898">
        <v>12</v>
      </c>
      <c r="K23" s="899">
        <f>J23*E23</f>
        <v>1871.88</v>
      </c>
    </row>
    <row r="24" spans="1:12" ht="74.25" customHeight="1">
      <c r="A24" s="910">
        <v>8</v>
      </c>
      <c r="B24" s="896" t="s">
        <v>1765</v>
      </c>
      <c r="C24" s="909">
        <v>7130200202</v>
      </c>
      <c r="D24" s="42" t="s">
        <v>1753</v>
      </c>
      <c r="E24" s="897">
        <f>VLOOKUP(C24,'SOR RATE'!A:D,4,0)</f>
        <v>2510.8</v>
      </c>
      <c r="F24" s="898"/>
      <c r="G24" s="898"/>
      <c r="H24" s="911">
        <f>(20*0.35)+(12*0.2)</f>
        <v>9.4</v>
      </c>
      <c r="I24" s="899">
        <f>E24*H24</f>
        <v>23601.520000000004</v>
      </c>
      <c r="J24" s="911">
        <f>(20*0.55)+(12*0.2)</f>
        <v>13.4</v>
      </c>
      <c r="K24" s="899">
        <f>E24*J24</f>
        <v>33644.72</v>
      </c>
      <c r="L24" s="612" t="s">
        <v>1896</v>
      </c>
    </row>
    <row r="25" spans="1:11" ht="46.5" customHeight="1">
      <c r="A25" s="1139">
        <v>9</v>
      </c>
      <c r="B25" s="908" t="s">
        <v>1766</v>
      </c>
      <c r="C25" s="909"/>
      <c r="D25" s="42"/>
      <c r="E25" s="897"/>
      <c r="F25" s="898">
        <f>20+12</f>
        <v>32</v>
      </c>
      <c r="G25" s="899"/>
      <c r="H25" s="912"/>
      <c r="I25" s="899"/>
      <c r="J25" s="898"/>
      <c r="K25" s="899"/>
    </row>
    <row r="26" spans="1:13" ht="18.75" customHeight="1">
      <c r="A26" s="1141"/>
      <c r="B26" s="908" t="s">
        <v>1758</v>
      </c>
      <c r="C26" s="909">
        <v>7130640008</v>
      </c>
      <c r="D26" s="911" t="s">
        <v>926</v>
      </c>
      <c r="E26" s="897">
        <f>VLOOKUP(C26,'SOR RATE'!A:D,4,0)</f>
        <v>158</v>
      </c>
      <c r="F26" s="898">
        <f>20+(12*2)</f>
        <v>44</v>
      </c>
      <c r="G26" s="899">
        <f>E26*F26</f>
        <v>6952</v>
      </c>
      <c r="H26" s="912"/>
      <c r="I26" s="899"/>
      <c r="J26" s="898"/>
      <c r="K26" s="899"/>
      <c r="L26" s="608" t="s">
        <v>1894</v>
      </c>
      <c r="M26" s="608" t="s">
        <v>1886</v>
      </c>
    </row>
    <row r="27" spans="1:11" ht="18" customHeight="1">
      <c r="A27" s="1139">
        <v>10</v>
      </c>
      <c r="B27" s="908" t="s">
        <v>908</v>
      </c>
      <c r="C27" s="909"/>
      <c r="D27" s="42" t="s">
        <v>907</v>
      </c>
      <c r="E27" s="719"/>
      <c r="F27" s="898">
        <v>30</v>
      </c>
      <c r="G27" s="898"/>
      <c r="H27" s="898">
        <v>30</v>
      </c>
      <c r="I27" s="898"/>
      <c r="J27" s="898">
        <v>30</v>
      </c>
      <c r="K27" s="913"/>
    </row>
    <row r="28" spans="1:11" ht="18" customHeight="1">
      <c r="A28" s="1140"/>
      <c r="B28" s="914" t="s">
        <v>306</v>
      </c>
      <c r="C28" s="909">
        <v>7130620573</v>
      </c>
      <c r="D28" s="42" t="s">
        <v>907</v>
      </c>
      <c r="E28" s="897">
        <f>VLOOKUP(C28,'SOR RATE'!A:D,4,0)</f>
        <v>69.38</v>
      </c>
      <c r="F28" s="898">
        <v>2</v>
      </c>
      <c r="G28" s="899">
        <f aca="true" t="shared" si="3" ref="G28:G41">F28*E28</f>
        <v>138.76</v>
      </c>
      <c r="H28" s="898">
        <v>2</v>
      </c>
      <c r="I28" s="899">
        <f aca="true" t="shared" si="4" ref="I28:I41">H28*E28</f>
        <v>138.76</v>
      </c>
      <c r="J28" s="898">
        <v>2</v>
      </c>
      <c r="K28" s="899">
        <f aca="true" t="shared" si="5" ref="K28:K41">J28*E28</f>
        <v>138.76</v>
      </c>
    </row>
    <row r="29" spans="1:11" ht="18" customHeight="1">
      <c r="A29" s="1140"/>
      <c r="B29" s="914" t="s">
        <v>13</v>
      </c>
      <c r="C29" s="909">
        <v>7130620609</v>
      </c>
      <c r="D29" s="42" t="s">
        <v>907</v>
      </c>
      <c r="E29" s="897">
        <f>VLOOKUP(C29,'SOR RATE'!A:D,4,0)</f>
        <v>69.38</v>
      </c>
      <c r="F29" s="898">
        <v>14</v>
      </c>
      <c r="G29" s="899">
        <f t="shared" si="3"/>
        <v>971.3199999999999</v>
      </c>
      <c r="H29" s="898">
        <v>14</v>
      </c>
      <c r="I29" s="899">
        <f t="shared" si="4"/>
        <v>971.3199999999999</v>
      </c>
      <c r="J29" s="898">
        <v>14</v>
      </c>
      <c r="K29" s="899">
        <f t="shared" si="5"/>
        <v>971.3199999999999</v>
      </c>
    </row>
    <row r="30" spans="1:11" ht="18" customHeight="1">
      <c r="A30" s="1141"/>
      <c r="B30" s="914" t="s">
        <v>1226</v>
      </c>
      <c r="C30" s="62">
        <v>7130620614</v>
      </c>
      <c r="D30" s="42" t="s">
        <v>907</v>
      </c>
      <c r="E30" s="897">
        <f>VLOOKUP(C30,'SOR RATE'!A:D,4,0)</f>
        <v>68.22</v>
      </c>
      <c r="F30" s="898">
        <v>14</v>
      </c>
      <c r="G30" s="899">
        <f t="shared" si="3"/>
        <v>955.0799999999999</v>
      </c>
      <c r="H30" s="898">
        <v>14</v>
      </c>
      <c r="I30" s="899">
        <f t="shared" si="4"/>
        <v>955.0799999999999</v>
      </c>
      <c r="J30" s="898">
        <v>14</v>
      </c>
      <c r="K30" s="899">
        <f t="shared" si="5"/>
        <v>955.0799999999999</v>
      </c>
    </row>
    <row r="31" spans="1:12" ht="29.25" customHeight="1">
      <c r="A31" s="895">
        <v>11</v>
      </c>
      <c r="B31" s="860" t="s">
        <v>1407</v>
      </c>
      <c r="C31" s="755">
        <v>7130870013</v>
      </c>
      <c r="D31" s="42" t="s">
        <v>19</v>
      </c>
      <c r="E31" s="897">
        <f>VLOOKUP(C31,'SOR RATE'!A:D,4,0)</f>
        <v>114.85</v>
      </c>
      <c r="F31" s="898">
        <v>20</v>
      </c>
      <c r="G31" s="899">
        <f t="shared" si="3"/>
        <v>2297</v>
      </c>
      <c r="H31" s="898">
        <v>20</v>
      </c>
      <c r="I31" s="899">
        <f t="shared" si="4"/>
        <v>2297</v>
      </c>
      <c r="J31" s="898">
        <v>20</v>
      </c>
      <c r="K31" s="899">
        <f t="shared" si="5"/>
        <v>2297</v>
      </c>
      <c r="L31" s="399"/>
    </row>
    <row r="32" spans="1:12" ht="17.25" customHeight="1">
      <c r="A32" s="895">
        <v>12</v>
      </c>
      <c r="B32" s="915" t="s">
        <v>1474</v>
      </c>
      <c r="C32" s="909">
        <v>7131950012</v>
      </c>
      <c r="D32" s="42" t="s">
        <v>19</v>
      </c>
      <c r="E32" s="897">
        <f>VLOOKUP(C32,'SOR RATE'!A:D,4,0)</f>
        <v>1193.13</v>
      </c>
      <c r="F32" s="898">
        <v>15</v>
      </c>
      <c r="G32" s="899">
        <f t="shared" si="3"/>
        <v>17896.95</v>
      </c>
      <c r="H32" s="898">
        <v>15</v>
      </c>
      <c r="I32" s="899">
        <f t="shared" si="4"/>
        <v>17896.95</v>
      </c>
      <c r="J32" s="898">
        <v>15</v>
      </c>
      <c r="K32" s="899">
        <f t="shared" si="5"/>
        <v>17896.95</v>
      </c>
      <c r="L32" s="399"/>
    </row>
    <row r="33" spans="1:12" ht="28.5">
      <c r="A33" s="895">
        <v>13</v>
      </c>
      <c r="B33" s="860" t="s">
        <v>1475</v>
      </c>
      <c r="C33" s="909">
        <v>7130890973</v>
      </c>
      <c r="D33" s="42" t="s">
        <v>748</v>
      </c>
      <c r="E33" s="897">
        <f>VLOOKUP(C33,'SOR RATE'!A:D,4,0)</f>
        <v>58.95</v>
      </c>
      <c r="F33" s="898">
        <v>15</v>
      </c>
      <c r="G33" s="899">
        <f>F33*E33</f>
        <v>884.25</v>
      </c>
      <c r="H33" s="898">
        <v>15</v>
      </c>
      <c r="I33" s="899">
        <f>H33*E33</f>
        <v>884.25</v>
      </c>
      <c r="J33" s="898">
        <v>15</v>
      </c>
      <c r="K33" s="899">
        <f>J33*E33</f>
        <v>884.25</v>
      </c>
      <c r="L33" s="377"/>
    </row>
    <row r="34" spans="1:12" ht="16.5" customHeight="1">
      <c r="A34" s="895">
        <v>14</v>
      </c>
      <c r="B34" s="860" t="s">
        <v>904</v>
      </c>
      <c r="C34" s="62">
        <v>7130211158</v>
      </c>
      <c r="D34" s="42" t="s">
        <v>905</v>
      </c>
      <c r="E34" s="897">
        <f>VLOOKUP(C34,'SOR RATE'!A:D,4,0)</f>
        <v>146.77</v>
      </c>
      <c r="F34" s="42">
        <v>0</v>
      </c>
      <c r="G34" s="899">
        <f t="shared" si="3"/>
        <v>0</v>
      </c>
      <c r="H34" s="42">
        <v>10</v>
      </c>
      <c r="I34" s="899">
        <f t="shared" si="4"/>
        <v>1467.7</v>
      </c>
      <c r="J34" s="42">
        <v>10</v>
      </c>
      <c r="K34" s="899">
        <f t="shared" si="5"/>
        <v>1467.7</v>
      </c>
      <c r="L34" s="499"/>
    </row>
    <row r="35" spans="1:12" ht="16.5" customHeight="1">
      <c r="A35" s="895">
        <v>15</v>
      </c>
      <c r="B35" s="860" t="s">
        <v>906</v>
      </c>
      <c r="C35" s="62">
        <v>7130210809</v>
      </c>
      <c r="D35" s="42" t="s">
        <v>905</v>
      </c>
      <c r="E35" s="897">
        <f>VLOOKUP(C35,'SOR RATE'!A:D,4,0)</f>
        <v>327.94</v>
      </c>
      <c r="F35" s="42">
        <v>0</v>
      </c>
      <c r="G35" s="899">
        <f t="shared" si="3"/>
        <v>0</v>
      </c>
      <c r="H35" s="42">
        <v>10</v>
      </c>
      <c r="I35" s="899">
        <f t="shared" si="4"/>
        <v>3279.4</v>
      </c>
      <c r="J35" s="42">
        <v>10</v>
      </c>
      <c r="K35" s="899">
        <f t="shared" si="5"/>
        <v>3279.4</v>
      </c>
      <c r="L35" s="499"/>
    </row>
    <row r="36" spans="1:13" ht="18" customHeight="1">
      <c r="A36" s="895">
        <v>16</v>
      </c>
      <c r="B36" s="860" t="s">
        <v>737</v>
      </c>
      <c r="C36" s="62">
        <v>7130810102</v>
      </c>
      <c r="D36" s="42" t="s">
        <v>19</v>
      </c>
      <c r="E36" s="897">
        <f>VLOOKUP(C36,'SOR RATE'!A:D,4,0)</f>
        <v>344.82</v>
      </c>
      <c r="F36" s="42">
        <v>20</v>
      </c>
      <c r="G36" s="899">
        <f t="shared" si="3"/>
        <v>6896.4</v>
      </c>
      <c r="H36" s="42">
        <v>20</v>
      </c>
      <c r="I36" s="899">
        <f t="shared" si="4"/>
        <v>6896.4</v>
      </c>
      <c r="J36" s="42">
        <v>20</v>
      </c>
      <c r="K36" s="899">
        <f t="shared" si="5"/>
        <v>6896.4</v>
      </c>
      <c r="L36" s="299"/>
      <c r="M36" s="16"/>
    </row>
    <row r="37" spans="1:12" ht="31.5" customHeight="1">
      <c r="A37" s="895">
        <v>17</v>
      </c>
      <c r="B37" s="860" t="s">
        <v>1476</v>
      </c>
      <c r="C37" s="62">
        <v>7130311008</v>
      </c>
      <c r="D37" s="42" t="s">
        <v>980</v>
      </c>
      <c r="E37" s="897">
        <f>VLOOKUP(C37,'SOR RATE'!A:D,4,0)/1000</f>
        <v>18.17464</v>
      </c>
      <c r="F37" s="42">
        <v>90</v>
      </c>
      <c r="G37" s="899">
        <f t="shared" si="3"/>
        <v>1635.7176</v>
      </c>
      <c r="H37" s="42">
        <v>90</v>
      </c>
      <c r="I37" s="899">
        <f t="shared" si="4"/>
        <v>1635.7176</v>
      </c>
      <c r="J37" s="42">
        <v>90</v>
      </c>
      <c r="K37" s="899">
        <f t="shared" si="5"/>
        <v>1635.7176</v>
      </c>
      <c r="L37" s="365"/>
    </row>
    <row r="38" spans="1:13" ht="17.25" customHeight="1">
      <c r="A38" s="895">
        <v>18</v>
      </c>
      <c r="B38" s="860" t="s">
        <v>738</v>
      </c>
      <c r="C38" s="62">
        <v>7130390007</v>
      </c>
      <c r="D38" s="42" t="s">
        <v>19</v>
      </c>
      <c r="E38" s="897">
        <f>VLOOKUP(C38,'SOR RATE'!A:D,4,0)</f>
        <v>169.29</v>
      </c>
      <c r="F38" s="42">
        <v>4</v>
      </c>
      <c r="G38" s="899">
        <f t="shared" si="3"/>
        <v>677.16</v>
      </c>
      <c r="H38" s="42">
        <v>4</v>
      </c>
      <c r="I38" s="899">
        <f t="shared" si="4"/>
        <v>677.16</v>
      </c>
      <c r="J38" s="42">
        <v>4</v>
      </c>
      <c r="K38" s="899">
        <f t="shared" si="5"/>
        <v>677.16</v>
      </c>
      <c r="L38" s="299"/>
      <c r="M38" s="289"/>
    </row>
    <row r="39" spans="1:13" ht="18" customHeight="1">
      <c r="A39" s="895">
        <v>19</v>
      </c>
      <c r="B39" s="860" t="s">
        <v>739</v>
      </c>
      <c r="C39" s="62">
        <v>7130390019</v>
      </c>
      <c r="D39" s="42" t="s">
        <v>19</v>
      </c>
      <c r="E39" s="897">
        <f>VLOOKUP(C39,'SOR RATE'!A:D,4,0)</f>
        <v>28.93</v>
      </c>
      <c r="F39" s="42">
        <v>14</v>
      </c>
      <c r="G39" s="899">
        <f t="shared" si="3"/>
        <v>405.02</v>
      </c>
      <c r="H39" s="42">
        <v>42</v>
      </c>
      <c r="I39" s="899">
        <f t="shared" si="4"/>
        <v>1215.06</v>
      </c>
      <c r="J39" s="42">
        <v>42</v>
      </c>
      <c r="K39" s="899">
        <f t="shared" si="5"/>
        <v>1215.06</v>
      </c>
      <c r="L39" s="299"/>
      <c r="M39" s="16"/>
    </row>
    <row r="40" spans="1:12" ht="30" customHeight="1">
      <c r="A40" s="895">
        <v>20</v>
      </c>
      <c r="B40" s="860" t="s">
        <v>1360</v>
      </c>
      <c r="C40" s="62">
        <v>7130320053</v>
      </c>
      <c r="D40" s="42" t="s">
        <v>19</v>
      </c>
      <c r="E40" s="897">
        <f>VLOOKUP(C40,'SOR RATE'!A:D,4,0)</f>
        <v>5.38</v>
      </c>
      <c r="F40" s="42">
        <v>530</v>
      </c>
      <c r="G40" s="899">
        <f t="shared" si="3"/>
        <v>2851.4</v>
      </c>
      <c r="H40" s="42">
        <v>530</v>
      </c>
      <c r="I40" s="899">
        <f t="shared" si="4"/>
        <v>2851.4</v>
      </c>
      <c r="J40" s="42">
        <v>530</v>
      </c>
      <c r="K40" s="899">
        <f t="shared" si="5"/>
        <v>2851.4</v>
      </c>
      <c r="L40" s="365"/>
    </row>
    <row r="41" spans="1:14" ht="16.5" customHeight="1">
      <c r="A41" s="895">
        <v>21</v>
      </c>
      <c r="B41" s="860" t="s">
        <v>1477</v>
      </c>
      <c r="C41" s="62">
        <v>7130610206</v>
      </c>
      <c r="D41" s="42" t="s">
        <v>907</v>
      </c>
      <c r="E41" s="897">
        <f>VLOOKUP(C41,'SOR RATE'!A:D,4,0)/1000</f>
        <v>76.07503</v>
      </c>
      <c r="F41" s="42">
        <v>40</v>
      </c>
      <c r="G41" s="899">
        <f t="shared" si="3"/>
        <v>3043.0011999999997</v>
      </c>
      <c r="H41" s="42">
        <v>40</v>
      </c>
      <c r="I41" s="899">
        <f t="shared" si="4"/>
        <v>3043.0011999999997</v>
      </c>
      <c r="J41" s="42">
        <v>40</v>
      </c>
      <c r="K41" s="899">
        <f t="shared" si="5"/>
        <v>3043.0011999999997</v>
      </c>
      <c r="L41" s="299"/>
      <c r="N41" s="400"/>
    </row>
    <row r="42" spans="1:13" ht="18" customHeight="1">
      <c r="A42" s="529">
        <v>22</v>
      </c>
      <c r="B42" s="916" t="s">
        <v>566</v>
      </c>
      <c r="C42" s="917"/>
      <c r="D42" s="42"/>
      <c r="E42" s="42"/>
      <c r="F42" s="718"/>
      <c r="G42" s="718">
        <f>SUM(G10:G41)</f>
        <v>301348.7708800001</v>
      </c>
      <c r="H42" s="718"/>
      <c r="I42" s="718">
        <f>SUM(I10:I41)</f>
        <v>441318.25048640004</v>
      </c>
      <c r="J42" s="718"/>
      <c r="K42" s="718">
        <f>SUM(K10:K41)</f>
        <v>598379.74152</v>
      </c>
      <c r="L42" s="379"/>
      <c r="M42" s="365"/>
    </row>
    <row r="43" spans="1:13" ht="18" customHeight="1">
      <c r="A43" s="42">
        <v>23</v>
      </c>
      <c r="B43" s="918" t="s">
        <v>565</v>
      </c>
      <c r="C43" s="919"/>
      <c r="D43" s="920"/>
      <c r="E43" s="861">
        <v>0.09</v>
      </c>
      <c r="F43" s="861"/>
      <c r="G43" s="719">
        <f>G42*E43</f>
        <v>27121.389379200005</v>
      </c>
      <c r="H43" s="861"/>
      <c r="I43" s="719">
        <f>I42*E43</f>
        <v>39718.642543776004</v>
      </c>
      <c r="J43" s="861"/>
      <c r="K43" s="719">
        <f>K42*E43</f>
        <v>53854.1767368</v>
      </c>
      <c r="L43" s="379"/>
      <c r="M43" s="380"/>
    </row>
    <row r="44" spans="1:11" ht="29.25" customHeight="1">
      <c r="A44" s="44">
        <v>24</v>
      </c>
      <c r="B44" s="860" t="s">
        <v>1478</v>
      </c>
      <c r="C44" s="921"/>
      <c r="D44" s="42" t="s">
        <v>749</v>
      </c>
      <c r="E44" s="719">
        <f>97*1.11*1.086275*1.1112*1.0685*1.06217*1.059*1.2778</f>
        <v>199.5970562453939</v>
      </c>
      <c r="F44" s="912">
        <v>20</v>
      </c>
      <c r="G44" s="719">
        <f>E44*F44</f>
        <v>3991.941124907878</v>
      </c>
      <c r="H44" s="42"/>
      <c r="I44" s="719"/>
      <c r="J44" s="719"/>
      <c r="K44" s="719"/>
    </row>
    <row r="45" spans="1:12" ht="18" customHeight="1">
      <c r="A45" s="44">
        <v>25</v>
      </c>
      <c r="B45" s="914" t="s">
        <v>1746</v>
      </c>
      <c r="C45" s="921"/>
      <c r="D45" s="922" t="s">
        <v>903</v>
      </c>
      <c r="E45" s="719">
        <f>453*1.2778</f>
        <v>578.8434</v>
      </c>
      <c r="F45" s="912"/>
      <c r="G45" s="719"/>
      <c r="H45" s="911">
        <f>(20*0.35)+(12*0.2)</f>
        <v>9.4</v>
      </c>
      <c r="I45" s="719">
        <f>E45*H45</f>
        <v>5441.12796</v>
      </c>
      <c r="J45" s="911">
        <f>(20*0.55)+(12*0.2)</f>
        <v>13.4</v>
      </c>
      <c r="K45" s="719">
        <f>E45*J45</f>
        <v>7756.50156</v>
      </c>
      <c r="L45" s="581"/>
    </row>
    <row r="46" spans="1:12" ht="16.5" customHeight="1">
      <c r="A46" s="895">
        <v>26</v>
      </c>
      <c r="B46" s="918" t="s">
        <v>1479</v>
      </c>
      <c r="C46" s="923"/>
      <c r="D46" s="924"/>
      <c r="E46" s="43"/>
      <c r="F46" s="911"/>
      <c r="G46" s="719">
        <f>45357.41*1.2778</f>
        <v>57957.698498000005</v>
      </c>
      <c r="H46" s="42"/>
      <c r="I46" s="719">
        <f>52227.01*1.2778</f>
        <v>66735.673378</v>
      </c>
      <c r="J46" s="911"/>
      <c r="K46" s="719">
        <f>54775.99*1.2778</f>
        <v>69992.760022</v>
      </c>
      <c r="L46" s="13"/>
    </row>
    <row r="47" spans="1:13" ht="16.5" customHeight="1">
      <c r="A47" s="895">
        <v>27</v>
      </c>
      <c r="B47" s="918" t="s">
        <v>568</v>
      </c>
      <c r="C47" s="923"/>
      <c r="D47" s="924"/>
      <c r="E47" s="43"/>
      <c r="F47" s="911"/>
      <c r="G47" s="925">
        <f>(12388.56*1.88%)+12388.56</f>
        <v>12621.464928</v>
      </c>
      <c r="H47" s="42"/>
      <c r="I47" s="925">
        <f>(13534.41*1.88%)+13534.41</f>
        <v>13788.856908</v>
      </c>
      <c r="J47" s="911"/>
      <c r="K47" s="897">
        <f>(13534.41*1.88%)+13534.41</f>
        <v>13788.856908</v>
      </c>
      <c r="L47" s="334"/>
      <c r="M47" s="295"/>
    </row>
    <row r="48" spans="1:12" ht="18" customHeight="1">
      <c r="A48" s="529">
        <v>28</v>
      </c>
      <c r="B48" s="916" t="s">
        <v>567</v>
      </c>
      <c r="C48" s="923"/>
      <c r="D48" s="924"/>
      <c r="E48" s="43"/>
      <c r="F48" s="530"/>
      <c r="G48" s="718">
        <f>G42+G43+G44+G46+G47</f>
        <v>403041.26481010794</v>
      </c>
      <c r="H48" s="529"/>
      <c r="I48" s="718">
        <f>I42+I43+I45+I46+I47</f>
        <v>567002.551276176</v>
      </c>
      <c r="J48" s="530"/>
      <c r="K48" s="718">
        <f>K42+K43+K45+K46+K47</f>
        <v>743772.0367468001</v>
      </c>
      <c r="L48" s="383"/>
    </row>
    <row r="49" spans="1:12" ht="32.25" customHeight="1">
      <c r="A49" s="895">
        <v>29</v>
      </c>
      <c r="B49" s="918" t="s">
        <v>1747</v>
      </c>
      <c r="C49" s="923"/>
      <c r="D49" s="924"/>
      <c r="E49" s="43">
        <v>0.125</v>
      </c>
      <c r="F49" s="911"/>
      <c r="G49" s="719">
        <f>G42*E49</f>
        <v>37668.59636000001</v>
      </c>
      <c r="H49" s="42"/>
      <c r="I49" s="719">
        <f>I42*E49</f>
        <v>55164.781310800005</v>
      </c>
      <c r="J49" s="911"/>
      <c r="K49" s="719">
        <f>K42*E49</f>
        <v>74797.46769</v>
      </c>
      <c r="L49" s="580"/>
    </row>
    <row r="50" spans="1:12" ht="18" customHeight="1">
      <c r="A50" s="895">
        <v>30</v>
      </c>
      <c r="B50" s="860" t="s">
        <v>1411</v>
      </c>
      <c r="C50" s="923"/>
      <c r="D50" s="719"/>
      <c r="E50" s="42"/>
      <c r="F50" s="719"/>
      <c r="G50" s="719">
        <f>G48+G49</f>
        <v>440709.86117010796</v>
      </c>
      <c r="H50" s="719"/>
      <c r="I50" s="719">
        <f>I48+I49</f>
        <v>622167.332586976</v>
      </c>
      <c r="J50" s="719"/>
      <c r="K50" s="719">
        <f>K48+K49</f>
        <v>818569.5044368</v>
      </c>
      <c r="L50" s="72"/>
    </row>
    <row r="51" spans="1:11" ht="30">
      <c r="A51" s="926">
        <v>31</v>
      </c>
      <c r="B51" s="927" t="s">
        <v>1412</v>
      </c>
      <c r="C51" s="928"/>
      <c r="D51" s="718"/>
      <c r="E51" s="529"/>
      <c r="F51" s="42"/>
      <c r="G51" s="718">
        <f>ROUND(G50,0)</f>
        <v>440710</v>
      </c>
      <c r="H51" s="42"/>
      <c r="I51" s="718">
        <f>ROUND(I50,0)</f>
        <v>622167</v>
      </c>
      <c r="J51" s="42"/>
      <c r="K51" s="718">
        <f>ROUND(K50,0)</f>
        <v>818570</v>
      </c>
    </row>
    <row r="52" spans="1:11" ht="14.25">
      <c r="A52" s="384"/>
      <c r="B52" s="385"/>
      <c r="C52" s="386"/>
      <c r="D52" s="385"/>
      <c r="E52" s="385"/>
      <c r="F52" s="385"/>
      <c r="G52" s="385"/>
      <c r="H52" s="385"/>
      <c r="I52" s="387"/>
      <c r="J52" s="365"/>
      <c r="K52" s="365"/>
    </row>
    <row r="53" spans="1:11" ht="15" customHeight="1">
      <c r="A53" s="388"/>
      <c r="B53" s="1142" t="s">
        <v>1480</v>
      </c>
      <c r="C53" s="1143"/>
      <c r="D53" s="385"/>
      <c r="E53" s="385"/>
      <c r="F53" s="385"/>
      <c r="G53" s="385"/>
      <c r="H53" s="385"/>
      <c r="I53" s="385"/>
      <c r="J53" s="365"/>
      <c r="K53" s="365"/>
    </row>
    <row r="54" spans="1:15" ht="15.75" customHeight="1">
      <c r="A54" s="556" t="s">
        <v>982</v>
      </c>
      <c r="B54" s="504" t="s">
        <v>1749</v>
      </c>
      <c r="C54" s="7"/>
      <c r="H54" s="337"/>
      <c r="I54" s="337"/>
      <c r="J54" s="337"/>
      <c r="K54" s="337"/>
      <c r="L54" s="337"/>
      <c r="M54" s="337"/>
      <c r="N54" s="337"/>
      <c r="O54" s="337"/>
    </row>
    <row r="55" spans="1:15" ht="15.75" customHeight="1">
      <c r="A55" s="556"/>
      <c r="B55" s="504"/>
      <c r="C55" s="7"/>
      <c r="H55" s="337"/>
      <c r="I55" s="337"/>
      <c r="J55" s="337"/>
      <c r="K55" s="337"/>
      <c r="L55" s="337"/>
      <c r="M55" s="337"/>
      <c r="N55" s="337"/>
      <c r="O55" s="337"/>
    </row>
    <row r="56" spans="1:15" ht="15.75" customHeight="1">
      <c r="A56" s="556"/>
      <c r="B56" s="504"/>
      <c r="C56" s="7"/>
      <c r="H56" s="337"/>
      <c r="I56" s="337"/>
      <c r="J56" s="337"/>
      <c r="K56" s="337"/>
      <c r="L56" s="337"/>
      <c r="M56" s="337"/>
      <c r="N56" s="337"/>
      <c r="O56" s="337"/>
    </row>
    <row r="57" spans="1:15" ht="15.75" customHeight="1">
      <c r="A57" s="556"/>
      <c r="B57" s="504"/>
      <c r="C57" s="7"/>
      <c r="H57" s="337"/>
      <c r="I57" s="337"/>
      <c r="J57" s="337"/>
      <c r="K57" s="337"/>
      <c r="L57" s="337"/>
      <c r="M57" s="337"/>
      <c r="N57" s="337"/>
      <c r="O57" s="337"/>
    </row>
    <row r="58" spans="1:15" ht="15.75" customHeight="1">
      <c r="A58" s="556"/>
      <c r="B58" s="504"/>
      <c r="C58" s="7"/>
      <c r="H58" s="337"/>
      <c r="I58" s="337"/>
      <c r="J58" s="337"/>
      <c r="K58" s="337"/>
      <c r="L58" s="337"/>
      <c r="M58" s="337"/>
      <c r="N58" s="337"/>
      <c r="O58" s="337"/>
    </row>
    <row r="59" spans="1:15" ht="15.75" customHeight="1">
      <c r="A59" s="556"/>
      <c r="B59" s="504"/>
      <c r="C59" s="7"/>
      <c r="H59" s="337"/>
      <c r="I59" s="337"/>
      <c r="J59" s="337"/>
      <c r="K59" s="337"/>
      <c r="L59" s="337"/>
      <c r="M59" s="337"/>
      <c r="N59" s="337"/>
      <c r="O59" s="337"/>
    </row>
    <row r="60" spans="1:15" ht="15.75" customHeight="1">
      <c r="A60" s="556"/>
      <c r="B60" s="504"/>
      <c r="C60" s="7"/>
      <c r="H60" s="337"/>
      <c r="I60" s="337"/>
      <c r="J60" s="337"/>
      <c r="K60" s="337"/>
      <c r="L60" s="337"/>
      <c r="M60" s="337"/>
      <c r="N60" s="337"/>
      <c r="O60" s="337"/>
    </row>
    <row r="61" spans="1:15" ht="15.75" customHeight="1">
      <c r="A61" s="556"/>
      <c r="B61" s="504"/>
      <c r="C61" s="7"/>
      <c r="H61" s="337"/>
      <c r="I61" s="337"/>
      <c r="J61" s="337"/>
      <c r="K61" s="337"/>
      <c r="L61" s="337"/>
      <c r="M61" s="337"/>
      <c r="N61" s="337"/>
      <c r="O61" s="337"/>
    </row>
    <row r="62" spans="1:15" ht="15.75" customHeight="1">
      <c r="A62" s="556"/>
      <c r="B62" s="504"/>
      <c r="C62" s="7"/>
      <c r="H62" s="337"/>
      <c r="I62" s="337"/>
      <c r="J62" s="337"/>
      <c r="K62" s="337"/>
      <c r="L62" s="337"/>
      <c r="M62" s="337"/>
      <c r="N62" s="337"/>
      <c r="O62" s="337"/>
    </row>
    <row r="63" spans="1:15" ht="15.75" customHeight="1">
      <c r="A63" s="556"/>
      <c r="B63" s="504"/>
      <c r="C63" s="7"/>
      <c r="H63" s="337"/>
      <c r="I63" s="337"/>
      <c r="J63" s="337"/>
      <c r="K63" s="337"/>
      <c r="L63" s="337"/>
      <c r="M63" s="337"/>
      <c r="N63" s="337"/>
      <c r="O63" s="337"/>
    </row>
    <row r="64" spans="1:15" ht="15.75" customHeight="1">
      <c r="A64" s="556"/>
      <c r="B64" s="504"/>
      <c r="C64" s="7"/>
      <c r="H64" s="337"/>
      <c r="I64" s="337"/>
      <c r="J64" s="337"/>
      <c r="K64" s="337"/>
      <c r="L64" s="337"/>
      <c r="M64" s="337"/>
      <c r="N64" s="337"/>
      <c r="O64" s="337"/>
    </row>
    <row r="65" spans="1:15" ht="15.75" customHeight="1">
      <c r="A65" s="556"/>
      <c r="B65" s="504"/>
      <c r="C65" s="7"/>
      <c r="H65" s="337"/>
      <c r="I65" s="337"/>
      <c r="J65" s="337"/>
      <c r="K65" s="337"/>
      <c r="L65" s="337"/>
      <c r="M65" s="337"/>
      <c r="N65" s="337"/>
      <c r="O65" s="337"/>
    </row>
    <row r="66" spans="1:15" ht="15.75" customHeight="1">
      <c r="A66" s="556"/>
      <c r="B66" s="504"/>
      <c r="C66" s="7"/>
      <c r="H66" s="337"/>
      <c r="I66" s="337"/>
      <c r="J66" s="337"/>
      <c r="K66" s="337"/>
      <c r="L66" s="337"/>
      <c r="M66" s="337"/>
      <c r="N66" s="337"/>
      <c r="O66" s="337"/>
    </row>
    <row r="67" spans="1:15" ht="15.75" customHeight="1">
      <c r="A67" s="556"/>
      <c r="B67" s="504"/>
      <c r="C67" s="7"/>
      <c r="H67" s="337"/>
      <c r="I67" s="337"/>
      <c r="J67" s="337"/>
      <c r="K67" s="337"/>
      <c r="L67" s="337"/>
      <c r="M67" s="337"/>
      <c r="N67" s="337"/>
      <c r="O67" s="337"/>
    </row>
    <row r="68" spans="1:15" ht="15.75" customHeight="1">
      <c r="A68" s="556"/>
      <c r="B68" s="504"/>
      <c r="C68" s="7"/>
      <c r="H68" s="337"/>
      <c r="I68" s="337"/>
      <c r="J68" s="337"/>
      <c r="K68" s="337"/>
      <c r="L68" s="337"/>
      <c r="M68" s="337"/>
      <c r="N68" s="337"/>
      <c r="O68" s="337"/>
    </row>
    <row r="69" spans="1:11" ht="14.25">
      <c r="A69" s="384"/>
      <c r="B69" s="385"/>
      <c r="C69" s="385"/>
      <c r="D69" s="385"/>
      <c r="E69" s="385"/>
      <c r="F69" s="385"/>
      <c r="G69" s="385"/>
      <c r="H69" s="385"/>
      <c r="I69" s="385"/>
      <c r="J69" s="365"/>
      <c r="K69" s="365"/>
    </row>
    <row r="70" spans="1:11" ht="14.25">
      <c r="A70" s="384"/>
      <c r="B70" s="385"/>
      <c r="C70" s="385"/>
      <c r="D70" s="385"/>
      <c r="E70" s="385"/>
      <c r="F70" s="385"/>
      <c r="G70" s="385"/>
      <c r="H70" s="385"/>
      <c r="I70" s="385"/>
      <c r="J70" s="365"/>
      <c r="K70" s="365"/>
    </row>
    <row r="71" spans="1:11" ht="14.25">
      <c r="A71" s="384"/>
      <c r="B71" s="385"/>
      <c r="C71" s="385"/>
      <c r="D71" s="385"/>
      <c r="E71" s="385"/>
      <c r="F71" s="385"/>
      <c r="G71" s="385"/>
      <c r="H71" s="385"/>
      <c r="I71" s="385"/>
      <c r="J71" s="365"/>
      <c r="K71" s="365"/>
    </row>
    <row r="72" spans="1:11" ht="14.25">
      <c r="A72" s="384"/>
      <c r="B72" s="385"/>
      <c r="C72" s="385"/>
      <c r="D72" s="385"/>
      <c r="E72" s="385"/>
      <c r="F72" s="385"/>
      <c r="G72" s="385"/>
      <c r="H72" s="385"/>
      <c r="I72" s="385"/>
      <c r="J72" s="365"/>
      <c r="K72" s="365"/>
    </row>
    <row r="73" spans="1:11" ht="14.25">
      <c r="A73" s="384"/>
      <c r="B73" s="385"/>
      <c r="C73" s="385"/>
      <c r="D73" s="385"/>
      <c r="E73" s="385"/>
      <c r="F73" s="385"/>
      <c r="G73" s="385"/>
      <c r="H73" s="385"/>
      <c r="I73" s="385"/>
      <c r="J73" s="365"/>
      <c r="K73" s="365"/>
    </row>
    <row r="74" spans="1:11" ht="14.25">
      <c r="A74" s="384"/>
      <c r="B74" s="385"/>
      <c r="C74" s="385"/>
      <c r="D74" s="385"/>
      <c r="E74" s="385"/>
      <c r="F74" s="385"/>
      <c r="G74" s="385"/>
      <c r="H74" s="385"/>
      <c r="I74" s="385"/>
      <c r="J74" s="365"/>
      <c r="K74" s="365"/>
    </row>
    <row r="76" spans="1:11" ht="14.25">
      <c r="A76" s="384"/>
      <c r="B76" s="385"/>
      <c r="C76" s="385"/>
      <c r="D76" s="385"/>
      <c r="E76" s="385"/>
      <c r="F76" s="385"/>
      <c r="G76" s="385"/>
      <c r="H76" s="385"/>
      <c r="I76" s="385"/>
      <c r="J76" s="365"/>
      <c r="K76" s="365"/>
    </row>
    <row r="78" spans="4:7" ht="14.25">
      <c r="D78" s="396"/>
      <c r="E78" s="396"/>
      <c r="F78" s="396"/>
      <c r="G78" s="396"/>
    </row>
    <row r="79" spans="4:7" ht="14.25">
      <c r="D79" s="396"/>
      <c r="E79" s="396"/>
      <c r="F79" s="396"/>
      <c r="G79" s="396"/>
    </row>
    <row r="80" spans="4:7" ht="14.25">
      <c r="D80" s="396"/>
      <c r="E80" s="396"/>
      <c r="F80" s="396"/>
      <c r="G80" s="396"/>
    </row>
    <row r="81" spans="4:7" ht="14.25">
      <c r="D81" s="396"/>
      <c r="E81" s="396"/>
      <c r="F81" s="396"/>
      <c r="G81" s="396"/>
    </row>
    <row r="82" spans="4:7" ht="14.25">
      <c r="D82" s="396"/>
      <c r="E82" s="396"/>
      <c r="F82" s="396"/>
      <c r="G82" s="396"/>
    </row>
    <row r="83" spans="4:7" ht="14.25">
      <c r="D83" s="396"/>
      <c r="E83" s="396"/>
      <c r="F83" s="396"/>
      <c r="G83" s="396"/>
    </row>
  </sheetData>
  <sheetProtection/>
  <mergeCells count="15">
    <mergeCell ref="A21:A23"/>
    <mergeCell ref="A27:A30"/>
    <mergeCell ref="B53:C53"/>
    <mergeCell ref="A25:A26"/>
    <mergeCell ref="C1:G1"/>
    <mergeCell ref="B3:J3"/>
    <mergeCell ref="J5:K5"/>
    <mergeCell ref="A7:A8"/>
    <mergeCell ref="B7:B8"/>
    <mergeCell ref="C7:C8"/>
    <mergeCell ref="D7:D8"/>
    <mergeCell ref="E7:E8"/>
    <mergeCell ref="F7:G7"/>
    <mergeCell ref="H7:I7"/>
    <mergeCell ref="J7:K7"/>
  </mergeCells>
  <conditionalFormatting sqref="B42:B43">
    <cfRule type="cellIs" priority="1" dxfId="0" operator="equal" stopIfTrue="1">
      <formula>"?"</formula>
    </cfRule>
  </conditionalFormatting>
  <printOptions/>
  <pageMargins left="0.73" right="0.15" top="0.6" bottom="0.3" header="0.5" footer="0.15"/>
  <pageSetup horizontalDpi="600" verticalDpi="600" orientation="landscape" paperSize="9" scale="88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48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I44" sqref="I44"/>
    </sheetView>
  </sheetViews>
  <sheetFormatPr defaultColWidth="9.140625" defaultRowHeight="12.75"/>
  <cols>
    <col min="1" max="1" width="4.421875" style="540" customWidth="1"/>
    <col min="2" max="2" width="72.7109375" style="1" customWidth="1"/>
    <col min="3" max="3" width="13.421875" style="1" customWidth="1"/>
    <col min="4" max="4" width="6.28125" style="1" customWidth="1"/>
    <col min="5" max="5" width="9.00390625" style="1" bestFit="1" customWidth="1"/>
    <col min="6" max="6" width="6.421875" style="1" bestFit="1" customWidth="1"/>
    <col min="7" max="7" width="14.140625" style="1" customWidth="1"/>
    <col min="8" max="8" width="21.00390625" style="1" customWidth="1"/>
    <col min="9" max="9" width="20.421875" style="1" customWidth="1"/>
    <col min="10" max="10" width="14.28125" style="1" customWidth="1"/>
    <col min="11" max="11" width="15.8515625" style="1" customWidth="1"/>
    <col min="12" max="12" width="15.28125" style="1" customWidth="1"/>
    <col min="13" max="13" width="14.7109375" style="1" customWidth="1"/>
    <col min="14" max="16384" width="9.140625" style="1" customWidth="1"/>
  </cols>
  <sheetData>
    <row r="1" spans="1:10" ht="18.75" customHeight="1">
      <c r="A1" s="363"/>
      <c r="B1" s="1147" t="s">
        <v>1486</v>
      </c>
      <c r="C1" s="1060"/>
      <c r="D1" s="1060"/>
      <c r="E1" s="1060"/>
      <c r="F1" s="93"/>
      <c r="G1" s="34"/>
      <c r="H1" s="91"/>
      <c r="I1" s="91"/>
      <c r="J1" s="91"/>
    </row>
    <row r="2" spans="1:10" ht="8.25" customHeight="1">
      <c r="A2" s="363"/>
      <c r="B2" s="91"/>
      <c r="C2" s="91"/>
      <c r="D2" s="92"/>
      <c r="E2" s="92"/>
      <c r="F2" s="92"/>
      <c r="G2" s="92"/>
      <c r="H2" s="91"/>
      <c r="I2" s="91"/>
      <c r="J2" s="91"/>
    </row>
    <row r="3" spans="1:10" ht="36.75" customHeight="1">
      <c r="A3" s="363"/>
      <c r="B3" s="1068" t="s">
        <v>1487</v>
      </c>
      <c r="C3" s="1068"/>
      <c r="D3" s="1068"/>
      <c r="E3" s="1068"/>
      <c r="F3" s="1068"/>
      <c r="G3" s="1068"/>
      <c r="H3" s="20"/>
      <c r="I3" s="20"/>
      <c r="J3" s="20"/>
    </row>
    <row r="4" ht="9" customHeight="1"/>
    <row r="5" ht="14.25" customHeight="1">
      <c r="G5" s="532" t="s">
        <v>1823</v>
      </c>
    </row>
    <row r="6" spans="1:8" ht="76.5" customHeight="1">
      <c r="A6" s="1081" t="s">
        <v>1225</v>
      </c>
      <c r="B6" s="1081" t="s">
        <v>16</v>
      </c>
      <c r="C6" s="1081" t="s">
        <v>1389</v>
      </c>
      <c r="D6" s="1081" t="s">
        <v>17</v>
      </c>
      <c r="E6" s="1081" t="s">
        <v>746</v>
      </c>
      <c r="F6" s="1081" t="s">
        <v>1488</v>
      </c>
      <c r="G6" s="1081"/>
      <c r="H6" s="369"/>
    </row>
    <row r="7" spans="1:11" ht="15">
      <c r="A7" s="1081"/>
      <c r="B7" s="1081"/>
      <c r="C7" s="1081"/>
      <c r="D7" s="1081"/>
      <c r="E7" s="1081"/>
      <c r="F7" s="529" t="s">
        <v>18</v>
      </c>
      <c r="G7" s="529" t="s">
        <v>1176</v>
      </c>
      <c r="H7" s="370"/>
      <c r="I7" s="370"/>
      <c r="J7" s="370"/>
      <c r="K7" s="370"/>
    </row>
    <row r="8" spans="1:11" ht="15">
      <c r="A8" s="372">
        <v>1</v>
      </c>
      <c r="B8" s="372">
        <v>2</v>
      </c>
      <c r="C8" s="373">
        <v>3</v>
      </c>
      <c r="D8" s="372">
        <v>4</v>
      </c>
      <c r="E8" s="372">
        <v>5</v>
      </c>
      <c r="F8" s="372">
        <v>6</v>
      </c>
      <c r="G8" s="372">
        <v>7</v>
      </c>
      <c r="H8" s="33"/>
      <c r="I8" s="33"/>
      <c r="J8" s="33"/>
      <c r="K8" s="33"/>
    </row>
    <row r="9" spans="1:10" ht="18" customHeight="1">
      <c r="A9" s="895">
        <v>1</v>
      </c>
      <c r="B9" s="901" t="s">
        <v>1466</v>
      </c>
      <c r="C9" s="929">
        <v>7130800012</v>
      </c>
      <c r="D9" s="902" t="s">
        <v>19</v>
      </c>
      <c r="E9" s="275">
        <f>VLOOKUP(C9,'SOR RATE'!A:D,4,0)</f>
        <v>2255.2</v>
      </c>
      <c r="F9" s="930">
        <v>20</v>
      </c>
      <c r="G9" s="931">
        <f aca="true" t="shared" si="0" ref="G9:G20">F9*E9</f>
        <v>45104</v>
      </c>
      <c r="H9" s="401"/>
      <c r="I9" s="57"/>
      <c r="J9" s="57"/>
    </row>
    <row r="10" spans="1:10" ht="32.25" customHeight="1">
      <c r="A10" s="895">
        <v>2</v>
      </c>
      <c r="B10" s="896" t="s">
        <v>27</v>
      </c>
      <c r="C10" s="62">
        <v>7130797533</v>
      </c>
      <c r="D10" s="42" t="s">
        <v>19</v>
      </c>
      <c r="E10" s="275">
        <f>VLOOKUP(C10,'SOR RATE'!A:D,4,0)</f>
        <v>428.94</v>
      </c>
      <c r="F10" s="898">
        <v>15</v>
      </c>
      <c r="G10" s="899">
        <f t="shared" si="0"/>
        <v>6434.1</v>
      </c>
      <c r="H10" s="299"/>
      <c r="J10" s="378"/>
    </row>
    <row r="11" spans="1:13" ht="30" customHeight="1">
      <c r="A11" s="895" t="s">
        <v>1467</v>
      </c>
      <c r="B11" s="903" t="s">
        <v>1162</v>
      </c>
      <c r="C11" s="42">
        <v>7130390003</v>
      </c>
      <c r="D11" s="42" t="s">
        <v>19</v>
      </c>
      <c r="E11" s="275">
        <f>VLOOKUP(C11,'SOR RATE'!A:D,4,0)</f>
        <v>84.3</v>
      </c>
      <c r="F11" s="898">
        <v>20</v>
      </c>
      <c r="G11" s="899">
        <f t="shared" si="0"/>
        <v>1686</v>
      </c>
      <c r="H11" s="73"/>
      <c r="J11" s="376"/>
      <c r="K11" s="376"/>
      <c r="L11" s="376"/>
      <c r="M11" s="376"/>
    </row>
    <row r="12" spans="1:14" ht="29.25" customHeight="1">
      <c r="A12" s="895" t="s">
        <v>4</v>
      </c>
      <c r="B12" s="903" t="s">
        <v>1163</v>
      </c>
      <c r="C12" s="42">
        <v>7130390004</v>
      </c>
      <c r="D12" s="42" t="s">
        <v>19</v>
      </c>
      <c r="E12" s="275">
        <f>VLOOKUP(C12,'SOR RATE'!A:D,4,0)</f>
        <v>109.82</v>
      </c>
      <c r="F12" s="898">
        <v>40</v>
      </c>
      <c r="G12" s="899">
        <f t="shared" si="0"/>
        <v>4392.799999999999</v>
      </c>
      <c r="H12" s="73"/>
      <c r="J12" s="376"/>
      <c r="K12" s="376"/>
      <c r="L12" s="376"/>
      <c r="M12" s="376"/>
      <c r="N12" s="376"/>
    </row>
    <row r="13" spans="1:13" ht="29.25" customHeight="1">
      <c r="A13" s="895" t="s">
        <v>5</v>
      </c>
      <c r="B13" s="903" t="s">
        <v>1164</v>
      </c>
      <c r="C13" s="42">
        <v>7130390005</v>
      </c>
      <c r="D13" s="42" t="s">
        <v>19</v>
      </c>
      <c r="E13" s="275">
        <f>VLOOKUP(C13,'SOR RATE'!A:D,4,0)</f>
        <v>153.07</v>
      </c>
      <c r="F13" s="898">
        <v>10</v>
      </c>
      <c r="G13" s="899">
        <f t="shared" si="0"/>
        <v>1530.6999999999998</v>
      </c>
      <c r="H13" s="11"/>
      <c r="J13" s="376"/>
      <c r="K13" s="376"/>
      <c r="L13" s="376"/>
      <c r="M13" s="376"/>
    </row>
    <row r="14" spans="1:7" ht="18" customHeight="1">
      <c r="A14" s="895">
        <v>4</v>
      </c>
      <c r="B14" s="915" t="s">
        <v>1489</v>
      </c>
      <c r="C14" s="42">
        <v>7131950010</v>
      </c>
      <c r="D14" s="42" t="s">
        <v>926</v>
      </c>
      <c r="E14" s="275">
        <f>VLOOKUP(C14,'SOR RATE'!A:D,4,0)</f>
        <v>990.47</v>
      </c>
      <c r="F14" s="898">
        <v>20</v>
      </c>
      <c r="G14" s="899">
        <f t="shared" si="0"/>
        <v>19809.4</v>
      </c>
    </row>
    <row r="15" spans="1:8" ht="17.25" customHeight="1">
      <c r="A15" s="895">
        <v>5</v>
      </c>
      <c r="B15" s="896" t="s">
        <v>1469</v>
      </c>
      <c r="C15" s="554">
        <v>7130390006</v>
      </c>
      <c r="D15" s="42" t="s">
        <v>19</v>
      </c>
      <c r="E15" s="275">
        <f>VLOOKUP(C15,'SOR RATE'!A:D,4,0)</f>
        <v>119.8</v>
      </c>
      <c r="F15" s="898">
        <v>33</v>
      </c>
      <c r="G15" s="899">
        <f t="shared" si="0"/>
        <v>3953.4</v>
      </c>
      <c r="H15" s="73"/>
    </row>
    <row r="16" spans="1:10" ht="31.5" customHeight="1">
      <c r="A16" s="895">
        <v>6</v>
      </c>
      <c r="B16" s="896" t="s">
        <v>529</v>
      </c>
      <c r="C16" s="496">
        <v>7130797532</v>
      </c>
      <c r="D16" s="42" t="s">
        <v>19</v>
      </c>
      <c r="E16" s="275">
        <f>VLOOKUP(C16,'SOR RATE'!A:D,4,0)</f>
        <v>590.97</v>
      </c>
      <c r="F16" s="898">
        <v>14</v>
      </c>
      <c r="G16" s="899">
        <f t="shared" si="0"/>
        <v>8273.58</v>
      </c>
      <c r="H16" s="73"/>
      <c r="J16" s="378"/>
    </row>
    <row r="17" spans="1:10" ht="18.75" customHeight="1">
      <c r="A17" s="895">
        <v>7</v>
      </c>
      <c r="B17" s="908" t="s">
        <v>1490</v>
      </c>
      <c r="C17" s="932">
        <v>7130310063</v>
      </c>
      <c r="D17" s="42" t="s">
        <v>980</v>
      </c>
      <c r="E17" s="275">
        <f>VLOOKUP(C17,'SOR RATE'!A:D,4,0)/1000</f>
        <v>41.18418</v>
      </c>
      <c r="F17" s="898">
        <v>1100</v>
      </c>
      <c r="G17" s="899">
        <f t="shared" si="0"/>
        <v>45302.598</v>
      </c>
      <c r="H17" s="299"/>
      <c r="J17" s="72"/>
    </row>
    <row r="18" spans="1:8" ht="16.5" customHeight="1">
      <c r="A18" s="1139">
        <v>8</v>
      </c>
      <c r="B18" s="860" t="s">
        <v>1472</v>
      </c>
      <c r="C18" s="932">
        <v>7130860032</v>
      </c>
      <c r="D18" s="42" t="s">
        <v>19</v>
      </c>
      <c r="E18" s="275">
        <f>VLOOKUP(C18,'SOR RATE'!A:D,4,0)</f>
        <v>441.23</v>
      </c>
      <c r="F18" s="898">
        <v>12</v>
      </c>
      <c r="G18" s="899">
        <f t="shared" si="0"/>
        <v>5294.76</v>
      </c>
      <c r="H18" s="299"/>
    </row>
    <row r="19" spans="1:7" ht="16.5" customHeight="1">
      <c r="A19" s="1140"/>
      <c r="B19" s="860" t="s">
        <v>1473</v>
      </c>
      <c r="C19" s="932">
        <v>7130860077</v>
      </c>
      <c r="D19" s="42" t="s">
        <v>907</v>
      </c>
      <c r="E19" s="275">
        <f>VLOOKUP(C19,'SOR RATE'!A:D,4,0)/1000</f>
        <v>70.43964</v>
      </c>
      <c r="F19" s="898">
        <v>72</v>
      </c>
      <c r="G19" s="899">
        <f t="shared" si="0"/>
        <v>5071.65408</v>
      </c>
    </row>
    <row r="20" spans="1:7" ht="16.5" customHeight="1">
      <c r="A20" s="1141"/>
      <c r="B20" s="860" t="s">
        <v>1355</v>
      </c>
      <c r="C20" s="923">
        <v>7130810026</v>
      </c>
      <c r="D20" s="902" t="s">
        <v>745</v>
      </c>
      <c r="E20" s="275">
        <f>VLOOKUP(C20,'SOR RATE'!A182:D182,4,0)</f>
        <v>155.99</v>
      </c>
      <c r="F20" s="898">
        <v>12</v>
      </c>
      <c r="G20" s="899">
        <f t="shared" si="0"/>
        <v>1871.88</v>
      </c>
    </row>
    <row r="21" spans="1:7" ht="32.25" customHeight="1">
      <c r="A21" s="1139">
        <v>9</v>
      </c>
      <c r="B21" s="756" t="s">
        <v>1766</v>
      </c>
      <c r="C21" s="932"/>
      <c r="D21" s="42"/>
      <c r="E21" s="719"/>
      <c r="F21" s="898">
        <f>20+12</f>
        <v>32</v>
      </c>
      <c r="G21" s="899"/>
    </row>
    <row r="22" spans="1:9" ht="17.25" customHeight="1">
      <c r="A22" s="1141"/>
      <c r="B22" s="502" t="s">
        <v>1758</v>
      </c>
      <c r="C22" s="861">
        <v>7130640008</v>
      </c>
      <c r="D22" s="842" t="s">
        <v>926</v>
      </c>
      <c r="E22" s="275">
        <f>VLOOKUP(C22,'SOR RATE'!A:D,4,0)</f>
        <v>158</v>
      </c>
      <c r="F22" s="898">
        <f>20+(12*2)</f>
        <v>44</v>
      </c>
      <c r="G22" s="899">
        <f>F22*E22</f>
        <v>6952</v>
      </c>
      <c r="H22" s="608" t="s">
        <v>1894</v>
      </c>
      <c r="I22" s="608" t="s">
        <v>1886</v>
      </c>
    </row>
    <row r="23" spans="1:7" ht="16.5" customHeight="1">
      <c r="A23" s="1144">
        <v>10</v>
      </c>
      <c r="B23" s="908" t="s">
        <v>908</v>
      </c>
      <c r="C23" s="861"/>
      <c r="D23" s="42" t="s">
        <v>907</v>
      </c>
      <c r="E23" s="719"/>
      <c r="F23" s="898">
        <v>30</v>
      </c>
      <c r="G23" s="898"/>
    </row>
    <row r="24" spans="1:7" ht="16.5" customHeight="1">
      <c r="A24" s="1145"/>
      <c r="B24" s="914" t="s">
        <v>306</v>
      </c>
      <c r="C24" s="861">
        <v>7130620573</v>
      </c>
      <c r="D24" s="42" t="s">
        <v>907</v>
      </c>
      <c r="E24" s="275">
        <f>VLOOKUP(C24,'SOR RATE'!A:D,4,0)</f>
        <v>69.38</v>
      </c>
      <c r="F24" s="898">
        <v>2</v>
      </c>
      <c r="G24" s="899">
        <f aca="true" t="shared" si="1" ref="G24:G36">F24*E24</f>
        <v>138.76</v>
      </c>
    </row>
    <row r="25" spans="1:7" ht="16.5" customHeight="1">
      <c r="A25" s="1145"/>
      <c r="B25" s="914" t="s">
        <v>13</v>
      </c>
      <c r="C25" s="932">
        <v>7130620609</v>
      </c>
      <c r="D25" s="42" t="s">
        <v>907</v>
      </c>
      <c r="E25" s="275">
        <f>VLOOKUP(C25,'SOR RATE'!A:D,4,0)</f>
        <v>69.38</v>
      </c>
      <c r="F25" s="898">
        <v>14</v>
      </c>
      <c r="G25" s="899">
        <f t="shared" si="1"/>
        <v>971.3199999999999</v>
      </c>
    </row>
    <row r="26" spans="1:7" ht="16.5" customHeight="1">
      <c r="A26" s="1146"/>
      <c r="B26" s="914" t="s">
        <v>1226</v>
      </c>
      <c r="C26" s="932">
        <v>7130620614</v>
      </c>
      <c r="D26" s="42" t="s">
        <v>907</v>
      </c>
      <c r="E26" s="275">
        <f>VLOOKUP(C26,'SOR RATE'!A:D,4,0)</f>
        <v>68.22</v>
      </c>
      <c r="F26" s="898">
        <v>14</v>
      </c>
      <c r="G26" s="899">
        <f t="shared" si="1"/>
        <v>955.0799999999999</v>
      </c>
    </row>
    <row r="27" spans="1:8" ht="16.5" customHeight="1">
      <c r="A27" s="895">
        <v>11</v>
      </c>
      <c r="B27" s="860" t="s">
        <v>1407</v>
      </c>
      <c r="C27" s="861">
        <v>7130870013</v>
      </c>
      <c r="D27" s="42" t="s">
        <v>19</v>
      </c>
      <c r="E27" s="275">
        <f>VLOOKUP(C27,'SOR RATE'!A:D,4,0)</f>
        <v>114.85</v>
      </c>
      <c r="F27" s="898">
        <v>20</v>
      </c>
      <c r="G27" s="899">
        <f t="shared" si="1"/>
        <v>2297</v>
      </c>
      <c r="H27" s="73"/>
    </row>
    <row r="28" spans="1:8" ht="18" customHeight="1">
      <c r="A28" s="895">
        <v>12</v>
      </c>
      <c r="B28" s="860" t="s">
        <v>1475</v>
      </c>
      <c r="C28" s="909">
        <v>7130890973</v>
      </c>
      <c r="D28" s="42" t="s">
        <v>748</v>
      </c>
      <c r="E28" s="275">
        <f>VLOOKUP(C28,'SOR RATE'!A:D,4,0)</f>
        <v>58.95</v>
      </c>
      <c r="F28" s="898">
        <v>20</v>
      </c>
      <c r="G28" s="899">
        <f>F28*E28</f>
        <v>1179</v>
      </c>
      <c r="H28" s="377"/>
    </row>
    <row r="29" spans="1:7" ht="16.5" customHeight="1">
      <c r="A29" s="895">
        <v>13</v>
      </c>
      <c r="B29" s="860" t="s">
        <v>904</v>
      </c>
      <c r="C29" s="861">
        <v>7130211158</v>
      </c>
      <c r="D29" s="42" t="s">
        <v>905</v>
      </c>
      <c r="E29" s="275">
        <f>VLOOKUP(C29,'SOR RATE'!A:D,4,0)</f>
        <v>146.77</v>
      </c>
      <c r="F29" s="42">
        <v>3</v>
      </c>
      <c r="G29" s="899">
        <f t="shared" si="1"/>
        <v>440.31000000000006</v>
      </c>
    </row>
    <row r="30" spans="1:7" ht="16.5" customHeight="1">
      <c r="A30" s="42">
        <v>14</v>
      </c>
      <c r="B30" s="860" t="s">
        <v>906</v>
      </c>
      <c r="C30" s="861">
        <v>7130210809</v>
      </c>
      <c r="D30" s="42" t="s">
        <v>905</v>
      </c>
      <c r="E30" s="275">
        <f>VLOOKUP(C30,'SOR RATE'!A:D,4,0)</f>
        <v>327.94</v>
      </c>
      <c r="F30" s="42">
        <v>3</v>
      </c>
      <c r="G30" s="899">
        <f t="shared" si="1"/>
        <v>983.8199999999999</v>
      </c>
    </row>
    <row r="31" spans="1:8" ht="17.25" customHeight="1">
      <c r="A31" s="895">
        <v>15</v>
      </c>
      <c r="B31" s="860" t="s">
        <v>737</v>
      </c>
      <c r="C31" s="62">
        <v>7130810102</v>
      </c>
      <c r="D31" s="42" t="s">
        <v>19</v>
      </c>
      <c r="E31" s="275">
        <f>VLOOKUP(C31,'SOR RATE'!A:D,4,0)</f>
        <v>344.82</v>
      </c>
      <c r="F31" s="42">
        <v>20</v>
      </c>
      <c r="G31" s="899">
        <f t="shared" si="1"/>
        <v>6896.4</v>
      </c>
      <c r="H31" s="73"/>
    </row>
    <row r="32" spans="1:8" ht="18" customHeight="1">
      <c r="A32" s="895">
        <v>16</v>
      </c>
      <c r="B32" s="860" t="s">
        <v>1491</v>
      </c>
      <c r="C32" s="861">
        <v>7130311008</v>
      </c>
      <c r="D32" s="42" t="s">
        <v>980</v>
      </c>
      <c r="E32" s="275">
        <f>VLOOKUP(C32,'SOR RATE'!A:D,4,0)/1000</f>
        <v>18.17464</v>
      </c>
      <c r="F32" s="42">
        <v>60</v>
      </c>
      <c r="G32" s="899">
        <f t="shared" si="1"/>
        <v>1090.4784</v>
      </c>
      <c r="H32" s="365"/>
    </row>
    <row r="33" spans="1:8" ht="16.5" customHeight="1">
      <c r="A33" s="895">
        <v>17</v>
      </c>
      <c r="B33" s="860" t="s">
        <v>738</v>
      </c>
      <c r="C33" s="861">
        <v>7130390007</v>
      </c>
      <c r="D33" s="42" t="s">
        <v>19</v>
      </c>
      <c r="E33" s="275">
        <f>VLOOKUP(C33,'SOR RATE'!A:D,4,0)</f>
        <v>169.29</v>
      </c>
      <c r="F33" s="42">
        <v>4</v>
      </c>
      <c r="G33" s="899">
        <f t="shared" si="1"/>
        <v>677.16</v>
      </c>
      <c r="H33" s="73"/>
    </row>
    <row r="34" spans="1:8" ht="15" customHeight="1">
      <c r="A34" s="895">
        <v>18</v>
      </c>
      <c r="B34" s="860" t="s">
        <v>739</v>
      </c>
      <c r="C34" s="861">
        <v>7130390019</v>
      </c>
      <c r="D34" s="42" t="s">
        <v>19</v>
      </c>
      <c r="E34" s="275">
        <f>VLOOKUP(C34,'SOR RATE'!A:D,4,0)</f>
        <v>28.93</v>
      </c>
      <c r="F34" s="42">
        <v>14</v>
      </c>
      <c r="G34" s="899">
        <f t="shared" si="1"/>
        <v>405.02</v>
      </c>
      <c r="H34" s="73"/>
    </row>
    <row r="35" spans="1:8" ht="18" customHeight="1">
      <c r="A35" s="895">
        <v>19</v>
      </c>
      <c r="B35" s="860" t="s">
        <v>1360</v>
      </c>
      <c r="C35" s="861">
        <v>7130320053</v>
      </c>
      <c r="D35" s="42" t="s">
        <v>19</v>
      </c>
      <c r="E35" s="275">
        <f>VLOOKUP(C35,'SOR RATE'!A:D,4,0)</f>
        <v>5.38</v>
      </c>
      <c r="F35" s="42">
        <v>530</v>
      </c>
      <c r="G35" s="899">
        <f t="shared" si="1"/>
        <v>2851.4</v>
      </c>
      <c r="H35" s="365"/>
    </row>
    <row r="36" spans="1:9" ht="19.5" customHeight="1">
      <c r="A36" s="895">
        <v>20</v>
      </c>
      <c r="B36" s="860" t="s">
        <v>1477</v>
      </c>
      <c r="C36" s="861">
        <v>7130610206</v>
      </c>
      <c r="D36" s="42" t="s">
        <v>907</v>
      </c>
      <c r="E36" s="275">
        <f>VLOOKUP(C36,'SOR RATE'!A:D,4,0)/1000</f>
        <v>76.07503</v>
      </c>
      <c r="F36" s="42">
        <v>40</v>
      </c>
      <c r="G36" s="899">
        <f t="shared" si="1"/>
        <v>3043.0011999999997</v>
      </c>
      <c r="H36" s="494"/>
      <c r="I36" s="400"/>
    </row>
    <row r="37" spans="1:9" ht="15">
      <c r="A37" s="529">
        <v>21</v>
      </c>
      <c r="B37" s="916" t="s">
        <v>566</v>
      </c>
      <c r="C37" s="917"/>
      <c r="D37" s="42"/>
      <c r="E37" s="42"/>
      <c r="F37" s="42"/>
      <c r="G37" s="718">
        <f>SUM(G9:G36)</f>
        <v>177605.62167999998</v>
      </c>
      <c r="H37" s="379"/>
      <c r="I37" s="365"/>
    </row>
    <row r="38" spans="1:9" ht="17.25" customHeight="1">
      <c r="A38" s="42">
        <v>22</v>
      </c>
      <c r="B38" s="918" t="s">
        <v>565</v>
      </c>
      <c r="C38" s="919"/>
      <c r="D38" s="920"/>
      <c r="E38" s="861">
        <v>0.09</v>
      </c>
      <c r="F38" s="920"/>
      <c r="G38" s="719">
        <f>G37*E38</f>
        <v>15984.505951199997</v>
      </c>
      <c r="H38" s="379"/>
      <c r="I38" s="380"/>
    </row>
    <row r="39" spans="1:7" ht="18.75" customHeight="1">
      <c r="A39" s="44">
        <v>23</v>
      </c>
      <c r="B39" s="274" t="s">
        <v>1478</v>
      </c>
      <c r="C39" s="921"/>
      <c r="D39" s="42" t="s">
        <v>749</v>
      </c>
      <c r="E39" s="719">
        <f>97*1.11*1.086275*1.1112*1.0685*1.06217*1.059*1.2778</f>
        <v>199.5970562453939</v>
      </c>
      <c r="F39" s="912">
        <v>20</v>
      </c>
      <c r="G39" s="719">
        <f>F39*E39</f>
        <v>3991.941124907878</v>
      </c>
    </row>
    <row r="40" spans="1:8" ht="15.75" customHeight="1">
      <c r="A40" s="895">
        <v>24</v>
      </c>
      <c r="B40" s="860" t="s">
        <v>1492</v>
      </c>
      <c r="C40" s="923"/>
      <c r="D40" s="924"/>
      <c r="E40" s="43"/>
      <c r="F40" s="911"/>
      <c r="G40" s="924">
        <v>51605</v>
      </c>
      <c r="H40" s="542"/>
    </row>
    <row r="41" spans="1:9" ht="30.75" customHeight="1">
      <c r="A41" s="895">
        <v>25</v>
      </c>
      <c r="B41" s="860" t="s">
        <v>1427</v>
      </c>
      <c r="C41" s="923"/>
      <c r="D41" s="924"/>
      <c r="E41" s="43"/>
      <c r="F41" s="911"/>
      <c r="G41" s="275">
        <f>(12388.56*1.88%)+12388.56</f>
        <v>12621.464928</v>
      </c>
      <c r="I41" s="295"/>
    </row>
    <row r="42" spans="1:8" ht="15.75" customHeight="1">
      <c r="A42" s="529">
        <v>26</v>
      </c>
      <c r="B42" s="916" t="s">
        <v>567</v>
      </c>
      <c r="C42" s="923"/>
      <c r="D42" s="924"/>
      <c r="E42" s="43"/>
      <c r="F42" s="911"/>
      <c r="G42" s="933">
        <f>G37+G38+G39+G40+G41</f>
        <v>261808.53368410785</v>
      </c>
      <c r="H42" s="383"/>
    </row>
    <row r="43" spans="1:8" ht="31.5" customHeight="1">
      <c r="A43" s="895">
        <v>27</v>
      </c>
      <c r="B43" s="918" t="s">
        <v>1747</v>
      </c>
      <c r="C43" s="923"/>
      <c r="D43" s="924"/>
      <c r="E43" s="43">
        <v>0.125</v>
      </c>
      <c r="F43" s="911"/>
      <c r="G43" s="924">
        <f>G37*E43</f>
        <v>22200.702709999998</v>
      </c>
      <c r="H43" s="580"/>
    </row>
    <row r="44" spans="1:8" ht="16.5" customHeight="1">
      <c r="A44" s="895">
        <v>28</v>
      </c>
      <c r="B44" s="860" t="s">
        <v>1411</v>
      </c>
      <c r="C44" s="923"/>
      <c r="D44" s="719"/>
      <c r="E44" s="42"/>
      <c r="F44" s="911"/>
      <c r="G44" s="719">
        <f>G42+G43</f>
        <v>284009.23639410787</v>
      </c>
      <c r="H44" s="72"/>
    </row>
    <row r="45" spans="1:7" ht="18" customHeight="1">
      <c r="A45" s="926">
        <v>29</v>
      </c>
      <c r="B45" s="927" t="s">
        <v>1412</v>
      </c>
      <c r="C45" s="625"/>
      <c r="D45" s="718"/>
      <c r="E45" s="529"/>
      <c r="F45" s="911"/>
      <c r="G45" s="718">
        <f>ROUND(G44,0)</f>
        <v>284009</v>
      </c>
    </row>
    <row r="46" spans="1:7" ht="14.25">
      <c r="A46" s="402"/>
      <c r="B46" s="54"/>
      <c r="C46" s="403"/>
      <c r="D46" s="394"/>
      <c r="E46" s="402"/>
      <c r="F46" s="404"/>
      <c r="G46" s="394"/>
    </row>
    <row r="47" spans="1:7" ht="19.5" customHeight="1">
      <c r="A47" s="388"/>
      <c r="B47" s="405" t="s">
        <v>1480</v>
      </c>
      <c r="C47" s="406"/>
      <c r="D47" s="385"/>
      <c r="E47" s="385"/>
      <c r="F47" s="385"/>
      <c r="G47" s="385"/>
    </row>
    <row r="48" spans="1:15" ht="15.75" customHeight="1">
      <c r="A48" s="556" t="s">
        <v>982</v>
      </c>
      <c r="B48" s="481" t="s">
        <v>1749</v>
      </c>
      <c r="C48" s="7"/>
      <c r="H48" s="337"/>
      <c r="I48" s="337"/>
      <c r="J48" s="337"/>
      <c r="K48" s="337"/>
      <c r="L48" s="337"/>
      <c r="M48" s="337"/>
      <c r="N48" s="337"/>
      <c r="O48" s="337"/>
    </row>
  </sheetData>
  <sheetProtection/>
  <mergeCells count="11">
    <mergeCell ref="F6:G6"/>
    <mergeCell ref="A18:A20"/>
    <mergeCell ref="A21:A22"/>
    <mergeCell ref="A23:A26"/>
    <mergeCell ref="B1:E1"/>
    <mergeCell ref="B3:G3"/>
    <mergeCell ref="A6:A7"/>
    <mergeCell ref="B6:B7"/>
    <mergeCell ref="C6:C7"/>
    <mergeCell ref="D6:D7"/>
    <mergeCell ref="E6:E7"/>
  </mergeCells>
  <conditionalFormatting sqref="B37:B38">
    <cfRule type="cellIs" priority="1" dxfId="0" operator="equal" stopIfTrue="1">
      <formula>"?"</formula>
    </cfRule>
  </conditionalFormatting>
  <printOptions/>
  <pageMargins left="0.91" right="0.16" top="0.73" bottom="0.23" header="0.5" footer="0.16"/>
  <pageSetup horizontalDpi="600" verticalDpi="600" orientation="landscape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48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H49" sqref="H49"/>
    </sheetView>
  </sheetViews>
  <sheetFormatPr defaultColWidth="9.140625" defaultRowHeight="12.75"/>
  <cols>
    <col min="1" max="1" width="4.421875" style="1" bestFit="1" customWidth="1"/>
    <col min="2" max="2" width="86.7109375" style="1" bestFit="1" customWidth="1"/>
    <col min="3" max="3" width="13.57421875" style="1" customWidth="1"/>
    <col min="4" max="4" width="6.57421875" style="1" customWidth="1"/>
    <col min="5" max="5" width="9.57421875" style="1" bestFit="1" customWidth="1"/>
    <col min="6" max="6" width="5.57421875" style="1" bestFit="1" customWidth="1"/>
    <col min="7" max="7" width="11.28125" style="1" customWidth="1"/>
    <col min="8" max="8" width="20.7109375" style="1" customWidth="1"/>
    <col min="9" max="9" width="20.7109375" style="1" bestFit="1" customWidth="1"/>
    <col min="10" max="10" width="16.140625" style="1" customWidth="1"/>
    <col min="11" max="11" width="14.7109375" style="1" customWidth="1"/>
    <col min="12" max="12" width="15.00390625" style="1" customWidth="1"/>
    <col min="13" max="13" width="14.140625" style="1" customWidth="1"/>
    <col min="14" max="16384" width="9.140625" style="1" customWidth="1"/>
  </cols>
  <sheetData>
    <row r="1" spans="1:10" ht="18.75" customHeight="1">
      <c r="A1" s="407"/>
      <c r="B1" s="1147" t="s">
        <v>1493</v>
      </c>
      <c r="C1" s="1147"/>
      <c r="D1" s="1147"/>
      <c r="E1" s="408"/>
      <c r="F1" s="408"/>
      <c r="G1" s="408"/>
      <c r="H1" s="408"/>
      <c r="I1" s="408"/>
      <c r="J1" s="408"/>
    </row>
    <row r="2" spans="2:10" ht="6" customHeight="1">
      <c r="B2" s="409"/>
      <c r="C2" s="409"/>
      <c r="D2" s="409"/>
      <c r="E2" s="409"/>
      <c r="F2" s="409"/>
      <c r="G2" s="409"/>
      <c r="H2" s="409"/>
      <c r="I2" s="409"/>
      <c r="J2" s="409"/>
    </row>
    <row r="3" spans="2:10" ht="37.5" customHeight="1">
      <c r="B3" s="1148" t="s">
        <v>1494</v>
      </c>
      <c r="C3" s="1148"/>
      <c r="D3" s="1148"/>
      <c r="E3" s="1148"/>
      <c r="F3" s="410"/>
      <c r="G3" s="410"/>
      <c r="H3" s="410"/>
      <c r="I3" s="410"/>
      <c r="J3" s="410"/>
    </row>
    <row r="4" spans="1:14" ht="15.75" customHeight="1">
      <c r="A4" s="411"/>
      <c r="B4" s="412"/>
      <c r="C4" s="412"/>
      <c r="D4" s="411"/>
      <c r="E4" s="413"/>
      <c r="F4" s="1152" t="s">
        <v>1823</v>
      </c>
      <c r="G4" s="1152"/>
      <c r="H4" s="413"/>
      <c r="I4" s="413"/>
      <c r="J4" s="413"/>
      <c r="N4" s="409"/>
    </row>
    <row r="5" spans="1:14" ht="75.75" customHeight="1">
      <c r="A5" s="1153" t="s">
        <v>1362</v>
      </c>
      <c r="B5" s="1153" t="s">
        <v>446</v>
      </c>
      <c r="C5" s="1081" t="s">
        <v>1389</v>
      </c>
      <c r="D5" s="1153" t="s">
        <v>17</v>
      </c>
      <c r="E5" s="1153" t="s">
        <v>1495</v>
      </c>
      <c r="F5" s="1079" t="s">
        <v>1496</v>
      </c>
      <c r="G5" s="1079"/>
      <c r="H5" s="413"/>
      <c r="I5" s="413"/>
      <c r="J5" s="413"/>
      <c r="N5" s="409"/>
    </row>
    <row r="6" spans="1:10" ht="19.5" customHeight="1">
      <c r="A6" s="1153"/>
      <c r="B6" s="1153"/>
      <c r="C6" s="1081"/>
      <c r="D6" s="1153"/>
      <c r="E6" s="1153"/>
      <c r="F6" s="551" t="s">
        <v>580</v>
      </c>
      <c r="G6" s="551" t="s">
        <v>1497</v>
      </c>
      <c r="H6" s="414"/>
      <c r="I6" s="414"/>
      <c r="J6" s="414"/>
    </row>
    <row r="7" spans="1:10" ht="13.5" customHeight="1">
      <c r="A7" s="415" t="s">
        <v>910</v>
      </c>
      <c r="B7" s="416" t="s">
        <v>911</v>
      </c>
      <c r="C7" s="416">
        <v>3</v>
      </c>
      <c r="D7" s="415">
        <v>4</v>
      </c>
      <c r="E7" s="417">
        <v>5</v>
      </c>
      <c r="F7" s="416">
        <v>6</v>
      </c>
      <c r="G7" s="415">
        <v>7</v>
      </c>
      <c r="H7" s="418"/>
      <c r="I7" s="418"/>
      <c r="J7" s="418"/>
    </row>
    <row r="8" spans="1:10" ht="17.25" customHeight="1">
      <c r="A8" s="415">
        <v>1</v>
      </c>
      <c r="B8" s="934" t="s">
        <v>1498</v>
      </c>
      <c r="C8" s="768">
        <v>7130800012</v>
      </c>
      <c r="D8" s="415" t="s">
        <v>749</v>
      </c>
      <c r="E8" s="275">
        <f>VLOOKUP(C8,'SOR RATE'!A:D,4,0)</f>
        <v>2255.2</v>
      </c>
      <c r="F8" s="935">
        <v>20</v>
      </c>
      <c r="G8" s="936">
        <f>E8*F8</f>
        <v>45104</v>
      </c>
      <c r="H8" s="419"/>
      <c r="I8" s="57"/>
      <c r="J8" s="57"/>
    </row>
    <row r="9" spans="1:10" ht="17.25" customHeight="1">
      <c r="A9" s="415">
        <v>2</v>
      </c>
      <c r="B9" s="756" t="s">
        <v>1407</v>
      </c>
      <c r="C9" s="754">
        <v>7130870013</v>
      </c>
      <c r="D9" s="937" t="s">
        <v>749</v>
      </c>
      <c r="E9" s="275">
        <f>VLOOKUP(C9,'SOR RATE'!A:D,4,0)</f>
        <v>114.85</v>
      </c>
      <c r="F9" s="935">
        <v>6</v>
      </c>
      <c r="G9" s="936">
        <f aca="true" t="shared" si="0" ref="G9:G35">E9*F9</f>
        <v>689.0999999999999</v>
      </c>
      <c r="H9" s="57"/>
      <c r="I9" s="420"/>
      <c r="J9" s="420"/>
    </row>
    <row r="10" spans="1:13" ht="30" customHeight="1">
      <c r="A10" s="895" t="s">
        <v>1467</v>
      </c>
      <c r="B10" s="903" t="s">
        <v>1162</v>
      </c>
      <c r="C10" s="754">
        <v>7130390003</v>
      </c>
      <c r="D10" s="415" t="s">
        <v>749</v>
      </c>
      <c r="E10" s="275">
        <f>VLOOKUP(C10,'SOR RATE'!A:D,4,0)</f>
        <v>84.3</v>
      </c>
      <c r="F10" s="938">
        <v>30</v>
      </c>
      <c r="G10" s="936">
        <f t="shared" si="0"/>
        <v>2529</v>
      </c>
      <c r="H10" s="421"/>
      <c r="I10" s="421"/>
      <c r="J10" s="376"/>
      <c r="K10" s="376"/>
      <c r="L10" s="376"/>
      <c r="M10" s="376"/>
    </row>
    <row r="11" spans="1:13" ht="18" customHeight="1">
      <c r="A11" s="895" t="s">
        <v>4</v>
      </c>
      <c r="B11" s="896" t="s">
        <v>1163</v>
      </c>
      <c r="C11" s="42">
        <v>7130390004</v>
      </c>
      <c r="D11" s="42" t="s">
        <v>19</v>
      </c>
      <c r="E11" s="275">
        <f>VLOOKUP(C11,'SOR RATE'!A:D,4,0)</f>
        <v>109.82</v>
      </c>
      <c r="F11" s="938">
        <v>15</v>
      </c>
      <c r="G11" s="936">
        <f t="shared" si="0"/>
        <v>1647.3</v>
      </c>
      <c r="H11" s="421"/>
      <c r="I11" s="421"/>
      <c r="J11" s="117"/>
      <c r="K11" s="117"/>
      <c r="L11" s="117"/>
      <c r="M11" s="117"/>
    </row>
    <row r="12" spans="1:13" ht="18.75" customHeight="1">
      <c r="A12" s="895" t="s">
        <v>5</v>
      </c>
      <c r="B12" s="896" t="s">
        <v>1164</v>
      </c>
      <c r="C12" s="42">
        <v>7130390005</v>
      </c>
      <c r="D12" s="42" t="s">
        <v>19</v>
      </c>
      <c r="E12" s="275">
        <f>VLOOKUP(C12,'SOR RATE'!A:D,4,0)</f>
        <v>153.07</v>
      </c>
      <c r="F12" s="938">
        <v>24</v>
      </c>
      <c r="G12" s="936">
        <f t="shared" si="0"/>
        <v>3673.68</v>
      </c>
      <c r="H12" s="421"/>
      <c r="I12" s="421"/>
      <c r="J12" s="117"/>
      <c r="K12" s="117"/>
      <c r="L12" s="117"/>
      <c r="M12" s="117"/>
    </row>
    <row r="13" spans="1:10" ht="18" customHeight="1">
      <c r="A13" s="415">
        <v>4</v>
      </c>
      <c r="B13" s="904" t="s">
        <v>1499</v>
      </c>
      <c r="C13" s="932">
        <v>7130310070</v>
      </c>
      <c r="D13" s="415" t="s">
        <v>980</v>
      </c>
      <c r="E13" s="275">
        <f>VLOOKUP(C13,'SOR RATE'!A:D,4,0)/1000</f>
        <v>50.68456</v>
      </c>
      <c r="F13" s="935">
        <v>1100</v>
      </c>
      <c r="G13" s="936">
        <f t="shared" si="0"/>
        <v>55753.015999999996</v>
      </c>
      <c r="H13" s="420"/>
      <c r="I13" s="420"/>
      <c r="J13" s="420"/>
    </row>
    <row r="14" spans="1:10" ht="16.5" customHeight="1">
      <c r="A14" s="415" t="s">
        <v>1500</v>
      </c>
      <c r="B14" s="860" t="s">
        <v>1501</v>
      </c>
      <c r="C14" s="861">
        <v>7130890007</v>
      </c>
      <c r="D14" s="861" t="s">
        <v>926</v>
      </c>
      <c r="E14" s="275">
        <f>VLOOKUP(C14,'SOR RATE'!A:D,4,0)</f>
        <v>15443.4</v>
      </c>
      <c r="F14" s="935">
        <v>1</v>
      </c>
      <c r="G14" s="936">
        <f t="shared" si="0"/>
        <v>15443.4</v>
      </c>
      <c r="H14" s="420"/>
      <c r="I14" s="420"/>
      <c r="J14" s="420"/>
    </row>
    <row r="15" spans="1:14" ht="18.75" customHeight="1">
      <c r="A15" s="415" t="s">
        <v>4</v>
      </c>
      <c r="B15" s="860" t="s">
        <v>69</v>
      </c>
      <c r="C15" s="861">
        <v>7131950012</v>
      </c>
      <c r="D15" s="861" t="s">
        <v>926</v>
      </c>
      <c r="E15" s="275">
        <f>VLOOKUP(C15,'SOR RATE'!A:D,4,0)</f>
        <v>1193.13</v>
      </c>
      <c r="F15" s="935">
        <v>5</v>
      </c>
      <c r="G15" s="936">
        <f t="shared" si="0"/>
        <v>5965.650000000001</v>
      </c>
      <c r="H15" s="420"/>
      <c r="I15" s="117"/>
      <c r="J15" s="117"/>
      <c r="K15" s="117"/>
      <c r="L15" s="117"/>
      <c r="M15" s="117"/>
      <c r="N15" s="117"/>
    </row>
    <row r="16" spans="1:10" ht="16.5" customHeight="1">
      <c r="A16" s="1149">
        <v>6</v>
      </c>
      <c r="B16" s="860" t="s">
        <v>1472</v>
      </c>
      <c r="C16" s="909">
        <v>7130860032</v>
      </c>
      <c r="D16" s="42" t="s">
        <v>19</v>
      </c>
      <c r="E16" s="275">
        <f>VLOOKUP(C16,'SOR RATE'!A:D,4,0)</f>
        <v>441.23</v>
      </c>
      <c r="F16" s="940">
        <v>12</v>
      </c>
      <c r="G16" s="936">
        <f t="shared" si="0"/>
        <v>5294.76</v>
      </c>
      <c r="H16" s="422"/>
      <c r="I16" s="422"/>
      <c r="J16" s="422"/>
    </row>
    <row r="17" spans="1:10" ht="17.25" customHeight="1">
      <c r="A17" s="1150"/>
      <c r="B17" s="860" t="s">
        <v>1473</v>
      </c>
      <c r="C17" s="909">
        <v>7130860077</v>
      </c>
      <c r="D17" s="42" t="s">
        <v>907</v>
      </c>
      <c r="E17" s="275">
        <f>VLOOKUP(C17,'SOR RATE'!A:D,4,0)/1000</f>
        <v>70.43964</v>
      </c>
      <c r="F17" s="940">
        <v>72</v>
      </c>
      <c r="G17" s="936">
        <f t="shared" si="0"/>
        <v>5071.65408</v>
      </c>
      <c r="H17" s="422"/>
      <c r="I17" s="422"/>
      <c r="J17" s="422"/>
    </row>
    <row r="18" spans="1:10" ht="17.25" customHeight="1">
      <c r="A18" s="1151"/>
      <c r="B18" s="860" t="s">
        <v>1355</v>
      </c>
      <c r="C18" s="839">
        <v>7130810026</v>
      </c>
      <c r="D18" s="902" t="s">
        <v>745</v>
      </c>
      <c r="E18" s="275">
        <f>VLOOKUP(C18,'SOR RATE'!A182:D182,4,0)</f>
        <v>155.99</v>
      </c>
      <c r="F18" s="940">
        <v>12</v>
      </c>
      <c r="G18" s="936">
        <f t="shared" si="0"/>
        <v>1871.88</v>
      </c>
      <c r="H18" s="422"/>
      <c r="I18" s="422"/>
      <c r="J18" s="422"/>
    </row>
    <row r="19" spans="1:10" ht="31.5" customHeight="1">
      <c r="A19" s="1149">
        <v>7</v>
      </c>
      <c r="B19" s="756" t="s">
        <v>1766</v>
      </c>
      <c r="C19" s="62"/>
      <c r="D19" s="42"/>
      <c r="E19" s="801"/>
      <c r="F19" s="898">
        <f>20+12</f>
        <v>32</v>
      </c>
      <c r="G19" s="936"/>
      <c r="H19" s="422"/>
      <c r="I19" s="422"/>
      <c r="J19" s="422"/>
    </row>
    <row r="20" spans="1:10" ht="17.25" customHeight="1">
      <c r="A20" s="1151"/>
      <c r="B20" s="502" t="s">
        <v>1758</v>
      </c>
      <c r="C20" s="62">
        <v>7130640008</v>
      </c>
      <c r="D20" s="842" t="s">
        <v>926</v>
      </c>
      <c r="E20" s="275">
        <f>VLOOKUP(C20,'SOR RATE'!A:D,4,0)</f>
        <v>158</v>
      </c>
      <c r="F20" s="898">
        <f>20+(12*2)</f>
        <v>44</v>
      </c>
      <c r="G20" s="936">
        <f>E20*F20</f>
        <v>6952</v>
      </c>
      <c r="H20" s="608" t="s">
        <v>1894</v>
      </c>
      <c r="I20" s="608" t="s">
        <v>1886</v>
      </c>
      <c r="J20" s="422"/>
    </row>
    <row r="21" spans="1:10" ht="17.25" customHeight="1">
      <c r="A21" s="939">
        <v>8</v>
      </c>
      <c r="B21" s="860" t="s">
        <v>1770</v>
      </c>
      <c r="C21" s="909">
        <v>7130200202</v>
      </c>
      <c r="D21" s="42" t="s">
        <v>1753</v>
      </c>
      <c r="E21" s="275">
        <f>VLOOKUP(C21,'SOR RATE'!A:D,4,0)</f>
        <v>2510.8</v>
      </c>
      <c r="F21" s="941">
        <v>0.5</v>
      </c>
      <c r="G21" s="936">
        <f t="shared" si="0"/>
        <v>1255.4</v>
      </c>
      <c r="H21" s="1076" t="s">
        <v>1896</v>
      </c>
      <c r="I21" s="1105"/>
      <c r="J21" s="57"/>
    </row>
    <row r="22" spans="1:10" ht="16.5" customHeight="1">
      <c r="A22" s="1149">
        <v>9</v>
      </c>
      <c r="B22" s="908" t="s">
        <v>908</v>
      </c>
      <c r="C22" s="942"/>
      <c r="D22" s="943"/>
      <c r="E22" s="920"/>
      <c r="F22" s="920"/>
      <c r="G22" s="944"/>
      <c r="H22" s="57"/>
      <c r="I22" s="395"/>
      <c r="J22" s="395"/>
    </row>
    <row r="23" spans="1:10" ht="16.5" customHeight="1">
      <c r="A23" s="1150"/>
      <c r="B23" s="914" t="s">
        <v>306</v>
      </c>
      <c r="C23" s="909">
        <v>7130620573</v>
      </c>
      <c r="D23" s="42" t="s">
        <v>907</v>
      </c>
      <c r="E23" s="275">
        <f>VLOOKUP(C23,'SOR RATE'!A:D,4,0)</f>
        <v>69.38</v>
      </c>
      <c r="F23" s="912">
        <v>2</v>
      </c>
      <c r="G23" s="936">
        <f t="shared" si="0"/>
        <v>138.76</v>
      </c>
      <c r="H23" s="57"/>
      <c r="I23" s="395"/>
      <c r="J23" s="395"/>
    </row>
    <row r="24" spans="1:10" ht="16.5" customHeight="1">
      <c r="A24" s="1150"/>
      <c r="B24" s="914" t="s">
        <v>13</v>
      </c>
      <c r="C24" s="62">
        <v>7130620609</v>
      </c>
      <c r="D24" s="42" t="s">
        <v>907</v>
      </c>
      <c r="E24" s="275">
        <f>VLOOKUP(C24,'SOR RATE'!A:D,4,0)</f>
        <v>69.38</v>
      </c>
      <c r="F24" s="912">
        <v>14</v>
      </c>
      <c r="G24" s="936">
        <f t="shared" si="0"/>
        <v>971.3199999999999</v>
      </c>
      <c r="H24" s="57"/>
      <c r="I24" s="395"/>
      <c r="J24" s="395"/>
    </row>
    <row r="25" spans="1:10" ht="15" customHeight="1">
      <c r="A25" s="1151"/>
      <c r="B25" s="914" t="s">
        <v>1226</v>
      </c>
      <c r="C25" s="62">
        <v>7130620614</v>
      </c>
      <c r="D25" s="42" t="s">
        <v>907</v>
      </c>
      <c r="E25" s="275">
        <f>VLOOKUP(C25,'SOR RATE'!A:D,4,0)</f>
        <v>68.22</v>
      </c>
      <c r="F25" s="912">
        <v>14</v>
      </c>
      <c r="G25" s="936">
        <f t="shared" si="0"/>
        <v>955.0799999999999</v>
      </c>
      <c r="H25" s="57"/>
      <c r="I25" s="395"/>
      <c r="J25" s="395"/>
    </row>
    <row r="26" spans="1:10" ht="16.5" customHeight="1">
      <c r="A26" s="415">
        <v>10</v>
      </c>
      <c r="B26" s="896" t="s">
        <v>1469</v>
      </c>
      <c r="C26" s="554">
        <v>7130390006</v>
      </c>
      <c r="D26" s="42" t="s">
        <v>926</v>
      </c>
      <c r="E26" s="275">
        <f>VLOOKUP(C26,'SOR RATE'!A:D,4,0)</f>
        <v>119.8</v>
      </c>
      <c r="F26" s="912">
        <v>41</v>
      </c>
      <c r="G26" s="936">
        <f t="shared" si="0"/>
        <v>4911.8</v>
      </c>
      <c r="H26" s="395"/>
      <c r="I26" s="395"/>
      <c r="J26" s="395"/>
    </row>
    <row r="27" spans="1:12" ht="30.75" customHeight="1">
      <c r="A27" s="415">
        <v>11</v>
      </c>
      <c r="B27" s="896" t="s">
        <v>27</v>
      </c>
      <c r="C27" s="62">
        <v>7130797533</v>
      </c>
      <c r="D27" s="42" t="s">
        <v>19</v>
      </c>
      <c r="E27" s="275">
        <f>VLOOKUP(C27,'SOR RATE'!A:D,4,0)</f>
        <v>428.94</v>
      </c>
      <c r="F27" s="912">
        <v>22</v>
      </c>
      <c r="G27" s="936">
        <f t="shared" si="0"/>
        <v>9436.68</v>
      </c>
      <c r="H27" s="57"/>
      <c r="I27" s="38"/>
      <c r="J27" s="38"/>
      <c r="K27" s="38"/>
      <c r="L27" s="38"/>
    </row>
    <row r="28" spans="1:10" ht="21" customHeight="1">
      <c r="A28" s="415">
        <v>12</v>
      </c>
      <c r="B28" s="896" t="s">
        <v>529</v>
      </c>
      <c r="C28" s="554">
        <v>7130797532</v>
      </c>
      <c r="D28" s="42" t="s">
        <v>19</v>
      </c>
      <c r="E28" s="275">
        <f>VLOOKUP(C28,'SOR RATE'!A:D,4,0)</f>
        <v>590.97</v>
      </c>
      <c r="F28" s="912">
        <v>22</v>
      </c>
      <c r="G28" s="936">
        <f t="shared" si="0"/>
        <v>13001.34</v>
      </c>
      <c r="H28" s="57"/>
      <c r="I28" s="29"/>
      <c r="J28" s="395"/>
    </row>
    <row r="29" spans="1:10" ht="14.25">
      <c r="A29" s="415">
        <v>13</v>
      </c>
      <c r="B29" s="860" t="s">
        <v>904</v>
      </c>
      <c r="C29" s="62">
        <v>7130211158</v>
      </c>
      <c r="D29" s="42" t="s">
        <v>905</v>
      </c>
      <c r="E29" s="275">
        <f>VLOOKUP(C29,'SOR RATE'!A:D,4,0)</f>
        <v>146.77</v>
      </c>
      <c r="F29" s="912">
        <v>1</v>
      </c>
      <c r="G29" s="936">
        <f t="shared" si="0"/>
        <v>146.77</v>
      </c>
      <c r="H29" s="395"/>
      <c r="I29" s="395"/>
      <c r="J29" s="395"/>
    </row>
    <row r="30" spans="1:10" ht="16.5" customHeight="1">
      <c r="A30" s="415">
        <v>14</v>
      </c>
      <c r="B30" s="860" t="s">
        <v>906</v>
      </c>
      <c r="C30" s="62">
        <v>7130210809</v>
      </c>
      <c r="D30" s="42" t="s">
        <v>905</v>
      </c>
      <c r="E30" s="275">
        <f>VLOOKUP(C30,'SOR RATE'!A:D,4,0)</f>
        <v>327.94</v>
      </c>
      <c r="F30" s="912">
        <v>1</v>
      </c>
      <c r="G30" s="936">
        <f t="shared" si="0"/>
        <v>327.94</v>
      </c>
      <c r="H30" s="57"/>
      <c r="I30" s="395"/>
      <c r="J30" s="395"/>
    </row>
    <row r="31" spans="1:10" ht="16.5" customHeight="1">
      <c r="A31" s="415">
        <v>15</v>
      </c>
      <c r="B31" s="860" t="s">
        <v>1296</v>
      </c>
      <c r="C31" s="62">
        <v>7130810077</v>
      </c>
      <c r="D31" s="42" t="s">
        <v>19</v>
      </c>
      <c r="E31" s="275">
        <f>VLOOKUP(C31,'SOR RATE'!A:D,4,0)</f>
        <v>433.92</v>
      </c>
      <c r="F31" s="912">
        <v>44</v>
      </c>
      <c r="G31" s="936">
        <f t="shared" si="0"/>
        <v>19092.48</v>
      </c>
      <c r="H31" s="57"/>
      <c r="I31" s="395"/>
      <c r="J31" s="395"/>
    </row>
    <row r="32" spans="1:10" ht="16.5" customHeight="1">
      <c r="A32" s="415">
        <v>16</v>
      </c>
      <c r="B32" s="860" t="s">
        <v>1294</v>
      </c>
      <c r="C32" s="62">
        <v>7130893004</v>
      </c>
      <c r="D32" s="42" t="s">
        <v>19</v>
      </c>
      <c r="E32" s="275">
        <f>VLOOKUP(C32,'SOR RATE'!A:D,4,0)</f>
        <v>176.78</v>
      </c>
      <c r="F32" s="912">
        <v>44</v>
      </c>
      <c r="G32" s="936">
        <f t="shared" si="0"/>
        <v>7778.32</v>
      </c>
      <c r="H32" s="57"/>
      <c r="I32" s="395"/>
      <c r="J32" s="395"/>
    </row>
    <row r="33" spans="1:10" ht="16.5" customHeight="1">
      <c r="A33" s="415">
        <v>17</v>
      </c>
      <c r="B33" s="860" t="s">
        <v>737</v>
      </c>
      <c r="C33" s="62">
        <v>7130810102</v>
      </c>
      <c r="D33" s="42" t="s">
        <v>19</v>
      </c>
      <c r="E33" s="275">
        <f>VLOOKUP(C33,'SOR RATE'!A:D,4,0)</f>
        <v>344.82</v>
      </c>
      <c r="F33" s="912">
        <v>30</v>
      </c>
      <c r="G33" s="936">
        <f t="shared" si="0"/>
        <v>10344.6</v>
      </c>
      <c r="H33" s="395"/>
      <c r="I33" s="395"/>
      <c r="J33" s="395"/>
    </row>
    <row r="34" spans="1:10" ht="16.5" customHeight="1">
      <c r="A34" s="415">
        <v>18</v>
      </c>
      <c r="B34" s="860" t="s">
        <v>738</v>
      </c>
      <c r="C34" s="861">
        <v>7130390007</v>
      </c>
      <c r="D34" s="42" t="s">
        <v>19</v>
      </c>
      <c r="E34" s="275">
        <f>VLOOKUP(C34,'SOR RATE'!A:D,4,0)</f>
        <v>169.29</v>
      </c>
      <c r="F34" s="912">
        <v>6</v>
      </c>
      <c r="G34" s="936">
        <f>E34*F34</f>
        <v>1015.74</v>
      </c>
      <c r="H34" s="395"/>
      <c r="I34" s="395"/>
      <c r="J34" s="395"/>
    </row>
    <row r="35" spans="1:10" ht="16.5" customHeight="1">
      <c r="A35" s="415">
        <v>19</v>
      </c>
      <c r="B35" s="860" t="s">
        <v>739</v>
      </c>
      <c r="C35" s="861">
        <v>7130390019</v>
      </c>
      <c r="D35" s="42" t="s">
        <v>19</v>
      </c>
      <c r="E35" s="275">
        <f>VLOOKUP(C35,'SOR RATE'!A:D,4,0)</f>
        <v>28.93</v>
      </c>
      <c r="F35" s="912">
        <v>20</v>
      </c>
      <c r="G35" s="936">
        <f t="shared" si="0"/>
        <v>578.6</v>
      </c>
      <c r="H35" s="395"/>
      <c r="I35" s="395"/>
      <c r="J35" s="395"/>
    </row>
    <row r="36" spans="1:10" ht="18.75" customHeight="1">
      <c r="A36" s="415">
        <v>20</v>
      </c>
      <c r="B36" s="860" t="s">
        <v>1360</v>
      </c>
      <c r="C36" s="861">
        <v>7130320053</v>
      </c>
      <c r="D36" s="42" t="s">
        <v>19</v>
      </c>
      <c r="E36" s="275">
        <f>VLOOKUP(C36,'SOR RATE'!A:D,4,0)</f>
        <v>5.38</v>
      </c>
      <c r="F36" s="912">
        <v>530</v>
      </c>
      <c r="G36" s="936">
        <f>E36*F36</f>
        <v>2851.4</v>
      </c>
      <c r="H36" s="57"/>
      <c r="I36" s="395"/>
      <c r="J36" s="395"/>
    </row>
    <row r="37" spans="1:10" ht="16.5" customHeight="1">
      <c r="A37" s="945">
        <v>21</v>
      </c>
      <c r="B37" s="916" t="s">
        <v>566</v>
      </c>
      <c r="C37" s="946"/>
      <c r="D37" s="415"/>
      <c r="E37" s="947"/>
      <c r="F37" s="948"/>
      <c r="G37" s="949">
        <f>SUM(G8:G36)</f>
        <v>222801.67007999998</v>
      </c>
      <c r="H37" s="53"/>
      <c r="I37" s="50"/>
      <c r="J37" s="420"/>
    </row>
    <row r="38" spans="1:10" ht="16.5" customHeight="1">
      <c r="A38" s="42">
        <v>22</v>
      </c>
      <c r="B38" s="918" t="s">
        <v>565</v>
      </c>
      <c r="C38" s="919"/>
      <c r="D38" s="920"/>
      <c r="E38" s="861">
        <v>0.09</v>
      </c>
      <c r="F38" s="861"/>
      <c r="G38" s="719">
        <f>G37*E38</f>
        <v>20052.150307199998</v>
      </c>
      <c r="H38" s="53"/>
      <c r="I38" s="51"/>
      <c r="J38" s="423"/>
    </row>
    <row r="39" spans="1:10" ht="18.75" customHeight="1">
      <c r="A39" s="950">
        <v>23</v>
      </c>
      <c r="B39" s="860" t="s">
        <v>1478</v>
      </c>
      <c r="C39" s="951"/>
      <c r="D39" s="952" t="s">
        <v>749</v>
      </c>
      <c r="E39" s="719">
        <f>97*1.11*1.086275*1.1112*1.0685*1.06217*1.059*1.2778</f>
        <v>199.5970562453939</v>
      </c>
      <c r="F39" s="953">
        <v>20</v>
      </c>
      <c r="G39" s="954">
        <f>E39*F39</f>
        <v>3991.941124907878</v>
      </c>
      <c r="H39" s="424"/>
      <c r="I39" s="424"/>
      <c r="J39" s="424"/>
    </row>
    <row r="40" spans="1:10" ht="17.25" customHeight="1">
      <c r="A40" s="950">
        <v>24</v>
      </c>
      <c r="B40" s="914" t="s">
        <v>1746</v>
      </c>
      <c r="C40" s="923"/>
      <c r="D40" s="922" t="s">
        <v>903</v>
      </c>
      <c r="E40" s="719">
        <f>453*1.2778</f>
        <v>578.8434</v>
      </c>
      <c r="F40" s="955">
        <v>0.5</v>
      </c>
      <c r="G40" s="954">
        <f>E40*F40</f>
        <v>289.4217</v>
      </c>
      <c r="H40" s="581"/>
      <c r="I40" s="395"/>
      <c r="J40" s="395"/>
    </row>
    <row r="41" spans="1:10" ht="17.25" customHeight="1">
      <c r="A41" s="950">
        <v>25</v>
      </c>
      <c r="B41" s="860" t="s">
        <v>1502</v>
      </c>
      <c r="C41" s="951"/>
      <c r="D41" s="950"/>
      <c r="E41" s="956"/>
      <c r="F41" s="950"/>
      <c r="G41" s="936">
        <v>58900</v>
      </c>
      <c r="H41" s="425"/>
      <c r="I41" s="418"/>
      <c r="J41" s="418"/>
    </row>
    <row r="42" spans="1:10" ht="17.25" customHeight="1">
      <c r="A42" s="950">
        <v>26</v>
      </c>
      <c r="B42" s="860" t="s">
        <v>80</v>
      </c>
      <c r="C42" s="951"/>
      <c r="D42" s="950"/>
      <c r="E42" s="956"/>
      <c r="F42" s="950"/>
      <c r="G42" s="897">
        <f>(12388.56*1.88%)+12388.56</f>
        <v>12621.464928</v>
      </c>
      <c r="H42" s="418"/>
      <c r="I42" s="295"/>
      <c r="J42" s="418"/>
    </row>
    <row r="43" spans="1:10" ht="17.25" customHeight="1">
      <c r="A43" s="945">
        <v>27</v>
      </c>
      <c r="B43" s="916" t="s">
        <v>567</v>
      </c>
      <c r="C43" s="934"/>
      <c r="D43" s="415"/>
      <c r="E43" s="417"/>
      <c r="F43" s="415"/>
      <c r="G43" s="718">
        <f>G37+G38+G39+G40+G41+G42</f>
        <v>318656.64814010786</v>
      </c>
      <c r="H43" s="55"/>
      <c r="I43" s="418"/>
      <c r="J43" s="418"/>
    </row>
    <row r="44" spans="1:10" ht="19.5" customHeight="1">
      <c r="A44" s="950">
        <v>28</v>
      </c>
      <c r="B44" s="918" t="s">
        <v>1747</v>
      </c>
      <c r="C44" s="951"/>
      <c r="D44" s="950"/>
      <c r="E44" s="956">
        <v>0.125</v>
      </c>
      <c r="F44" s="950"/>
      <c r="G44" s="719">
        <f>G37*E44</f>
        <v>27850.208759999998</v>
      </c>
      <c r="H44" s="577"/>
      <c r="I44" s="418"/>
      <c r="J44" s="418"/>
    </row>
    <row r="45" spans="1:10" ht="16.5" customHeight="1">
      <c r="A45" s="950">
        <v>29</v>
      </c>
      <c r="B45" s="860" t="s">
        <v>1411</v>
      </c>
      <c r="C45" s="951"/>
      <c r="D45" s="950"/>
      <c r="E45" s="956"/>
      <c r="F45" s="950"/>
      <c r="G45" s="936">
        <f>G43+G44</f>
        <v>346506.8569001079</v>
      </c>
      <c r="H45" s="418"/>
      <c r="I45" s="418"/>
      <c r="J45" s="418"/>
    </row>
    <row r="46" spans="1:10" ht="19.5" customHeight="1">
      <c r="A46" s="945">
        <v>30</v>
      </c>
      <c r="B46" s="927" t="s">
        <v>1412</v>
      </c>
      <c r="C46" s="946"/>
      <c r="D46" s="957"/>
      <c r="E46" s="958"/>
      <c r="F46" s="957"/>
      <c r="G46" s="959">
        <f>ROUND(G45,0)</f>
        <v>346507</v>
      </c>
      <c r="H46" s="426"/>
      <c r="I46" s="426"/>
      <c r="J46" s="426"/>
    </row>
    <row r="47" spans="1:10" ht="14.25">
      <c r="A47" s="427"/>
      <c r="B47" s="428"/>
      <c r="C47" s="428"/>
      <c r="D47" s="427"/>
      <c r="E47" s="427"/>
      <c r="F47" s="427"/>
      <c r="G47" s="427"/>
      <c r="H47" s="427"/>
      <c r="I47" s="427"/>
      <c r="J47" s="427"/>
    </row>
    <row r="48" spans="1:15" ht="15.75" customHeight="1">
      <c r="A48" s="556" t="s">
        <v>982</v>
      </c>
      <c r="B48" s="481" t="s">
        <v>1749</v>
      </c>
      <c r="C48" s="7"/>
      <c r="H48" s="337"/>
      <c r="I48" s="337"/>
      <c r="J48" s="337"/>
      <c r="K48" s="337"/>
      <c r="L48" s="337"/>
      <c r="M48" s="337"/>
      <c r="N48" s="337"/>
      <c r="O48" s="337"/>
    </row>
  </sheetData>
  <sheetProtection/>
  <mergeCells count="13">
    <mergeCell ref="H21:I21"/>
    <mergeCell ref="A19:A20"/>
    <mergeCell ref="A22:A25"/>
    <mergeCell ref="B1:D1"/>
    <mergeCell ref="B3:E3"/>
    <mergeCell ref="A16:A18"/>
    <mergeCell ref="F4:G4"/>
    <mergeCell ref="A5:A6"/>
    <mergeCell ref="B5:B6"/>
    <mergeCell ref="C5:C6"/>
    <mergeCell ref="D5:D6"/>
    <mergeCell ref="E5:E6"/>
    <mergeCell ref="F5:G5"/>
  </mergeCells>
  <conditionalFormatting sqref="B37:B38">
    <cfRule type="cellIs" priority="1" dxfId="0" operator="equal" stopIfTrue="1">
      <formula>"?"</formula>
    </cfRule>
  </conditionalFormatting>
  <printOptions/>
  <pageMargins left="0.92" right="0.16" top="0.69" bottom="0.34" header="0.61" footer="0.16"/>
  <pageSetup horizontalDpi="600" verticalDpi="600" orientation="landscape" paperSize="9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110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I21" sqref="I21"/>
    </sheetView>
  </sheetViews>
  <sheetFormatPr defaultColWidth="9.140625" defaultRowHeight="12.75"/>
  <cols>
    <col min="1" max="1" width="5.140625" style="540" customWidth="1"/>
    <col min="2" max="2" width="65.28125" style="1" customWidth="1"/>
    <col min="3" max="3" width="13.28125" style="1" customWidth="1"/>
    <col min="4" max="4" width="6.140625" style="1" bestFit="1" customWidth="1"/>
    <col min="5" max="5" width="8.28125" style="1" customWidth="1"/>
    <col min="6" max="6" width="10.00390625" style="1" customWidth="1"/>
    <col min="7" max="7" width="11.8515625" style="1" bestFit="1" customWidth="1"/>
    <col min="8" max="8" width="23.57421875" style="1" customWidth="1"/>
    <col min="9" max="9" width="14.57421875" style="1" customWidth="1"/>
    <col min="10" max="10" width="11.00390625" style="1" bestFit="1" customWidth="1"/>
    <col min="11" max="11" width="6.28125" style="1" customWidth="1"/>
    <col min="12" max="12" width="6.00390625" style="1" bestFit="1" customWidth="1"/>
    <col min="13" max="16384" width="9.140625" style="1" customWidth="1"/>
  </cols>
  <sheetData>
    <row r="1" spans="1:11" ht="20.25">
      <c r="A1" s="432"/>
      <c r="B1" s="1154" t="s">
        <v>1503</v>
      </c>
      <c r="C1" s="1154"/>
      <c r="D1" s="1154"/>
      <c r="E1" s="1154"/>
      <c r="F1" s="1154"/>
      <c r="G1" s="433"/>
      <c r="J1" s="434"/>
      <c r="K1" s="434"/>
    </row>
    <row r="2" spans="1:11" ht="10.5" customHeight="1">
      <c r="A2" s="432"/>
      <c r="B2" s="429"/>
      <c r="C2" s="429"/>
      <c r="D2" s="429"/>
      <c r="E2" s="429"/>
      <c r="F2" s="429"/>
      <c r="G2" s="433"/>
      <c r="J2" s="435"/>
      <c r="K2" s="435"/>
    </row>
    <row r="3" spans="2:7" ht="21.75" customHeight="1">
      <c r="B3" s="1155" t="s">
        <v>1504</v>
      </c>
      <c r="C3" s="1155"/>
      <c r="D3" s="1155"/>
      <c r="E3" s="1155"/>
      <c r="F3" s="1155"/>
      <c r="G3" s="436"/>
    </row>
    <row r="4" spans="2:7" ht="15.75">
      <c r="B4" s="437"/>
      <c r="C4" s="437"/>
      <c r="D4" s="437"/>
      <c r="E4" s="437"/>
      <c r="F4" s="437"/>
      <c r="G4" s="437"/>
    </row>
    <row r="5" spans="2:7" ht="18.75">
      <c r="B5" s="438"/>
      <c r="C5" s="438"/>
      <c r="D5" s="438"/>
      <c r="E5" s="438"/>
      <c r="F5" s="438"/>
      <c r="G5" s="323" t="s">
        <v>1823</v>
      </c>
    </row>
    <row r="6" spans="1:7" ht="35.25" customHeight="1">
      <c r="A6" s="439" t="s">
        <v>1225</v>
      </c>
      <c r="B6" s="440" t="s">
        <v>16</v>
      </c>
      <c r="C6" s="441" t="s">
        <v>1389</v>
      </c>
      <c r="D6" s="440" t="s">
        <v>17</v>
      </c>
      <c r="E6" s="440" t="s">
        <v>840</v>
      </c>
      <c r="F6" s="442" t="s">
        <v>746</v>
      </c>
      <c r="G6" s="443" t="s">
        <v>1176</v>
      </c>
    </row>
    <row r="7" spans="1:7" ht="15.75">
      <c r="A7" s="440">
        <v>1</v>
      </c>
      <c r="B7" s="440">
        <v>2</v>
      </c>
      <c r="C7" s="444">
        <v>3</v>
      </c>
      <c r="D7" s="440">
        <v>4</v>
      </c>
      <c r="E7" s="440">
        <v>5</v>
      </c>
      <c r="F7" s="442">
        <v>6</v>
      </c>
      <c r="G7" s="443">
        <v>7</v>
      </c>
    </row>
    <row r="8" spans="1:9" ht="18.75" customHeight="1">
      <c r="A8" s="960">
        <v>1</v>
      </c>
      <c r="B8" s="961" t="s">
        <v>1505</v>
      </c>
      <c r="C8" s="768">
        <v>7130600635</v>
      </c>
      <c r="D8" s="960" t="s">
        <v>907</v>
      </c>
      <c r="E8" s="962">
        <v>122.74</v>
      </c>
      <c r="F8" s="275">
        <f>VLOOKUP(C8,'SOR RATE'!A:D,4,0)/1000</f>
        <v>39.50514</v>
      </c>
      <c r="G8" s="962">
        <f aca="true" t="shared" si="0" ref="G8:G14">E8*F8</f>
        <v>4848.860883599999</v>
      </c>
      <c r="I8" s="26"/>
    </row>
    <row r="9" spans="1:8" ht="30.75" customHeight="1">
      <c r="A9" s="960">
        <v>2</v>
      </c>
      <c r="B9" s="963" t="s">
        <v>1763</v>
      </c>
      <c r="C9" s="964">
        <v>7130200202</v>
      </c>
      <c r="D9" s="960" t="s">
        <v>903</v>
      </c>
      <c r="E9" s="962">
        <f>0.35</f>
        <v>0.35</v>
      </c>
      <c r="F9" s="275">
        <f>VLOOKUP(C9,'SOR RATE'!A:D,4,0)</f>
        <v>2510.8</v>
      </c>
      <c r="G9" s="962">
        <f>E9*F9</f>
        <v>878.78</v>
      </c>
      <c r="H9" s="615" t="s">
        <v>1896</v>
      </c>
    </row>
    <row r="10" spans="1:9" ht="32.25" customHeight="1">
      <c r="A10" s="42" t="s">
        <v>1506</v>
      </c>
      <c r="B10" s="896" t="s">
        <v>27</v>
      </c>
      <c r="C10" s="62">
        <v>7130797533</v>
      </c>
      <c r="D10" s="965" t="s">
        <v>19</v>
      </c>
      <c r="E10" s="966">
        <v>1</v>
      </c>
      <c r="F10" s="275">
        <f>VLOOKUP(C10,'SOR RATE'!A:D,4,0)</f>
        <v>428.94</v>
      </c>
      <c r="G10" s="967">
        <f t="shared" si="0"/>
        <v>428.94</v>
      </c>
      <c r="I10" s="27"/>
    </row>
    <row r="11" spans="1:12" ht="30" customHeight="1">
      <c r="A11" s="968" t="s">
        <v>4</v>
      </c>
      <c r="B11" s="903" t="s">
        <v>1162</v>
      </c>
      <c r="C11" s="554">
        <v>7130390003</v>
      </c>
      <c r="D11" s="965" t="s">
        <v>19</v>
      </c>
      <c r="E11" s="966">
        <v>4</v>
      </c>
      <c r="F11" s="275">
        <f>VLOOKUP(C11,'SOR RATE'!A:D,4,0)</f>
        <v>84.3</v>
      </c>
      <c r="G11" s="967">
        <f t="shared" si="0"/>
        <v>337.2</v>
      </c>
      <c r="I11" s="117"/>
      <c r="J11" s="117"/>
      <c r="K11" s="117"/>
      <c r="L11" s="117"/>
    </row>
    <row r="12" spans="1:7" ht="18" customHeight="1">
      <c r="A12" s="968" t="s">
        <v>5</v>
      </c>
      <c r="B12" s="896" t="s">
        <v>1507</v>
      </c>
      <c r="C12" s="554">
        <v>7130390006</v>
      </c>
      <c r="D12" s="965" t="s">
        <v>19</v>
      </c>
      <c r="E12" s="966">
        <v>1</v>
      </c>
      <c r="F12" s="275">
        <f>VLOOKUP(C12,'SOR RATE'!A:D,4,0)</f>
        <v>119.8</v>
      </c>
      <c r="G12" s="967">
        <f t="shared" si="0"/>
        <v>119.8</v>
      </c>
    </row>
    <row r="13" spans="1:14" ht="30" customHeight="1">
      <c r="A13" s="968">
        <v>4</v>
      </c>
      <c r="B13" s="860" t="s">
        <v>69</v>
      </c>
      <c r="C13" s="861">
        <v>7131950012</v>
      </c>
      <c r="D13" s="960" t="s">
        <v>19</v>
      </c>
      <c r="E13" s="969">
        <v>1</v>
      </c>
      <c r="F13" s="275">
        <f>VLOOKUP(C13,'SOR RATE'!A:D,4,0)</f>
        <v>1193.13</v>
      </c>
      <c r="G13" s="962">
        <f t="shared" si="0"/>
        <v>1193.13</v>
      </c>
      <c r="H13" s="283"/>
      <c r="I13" s="117"/>
      <c r="J13" s="117"/>
      <c r="K13" s="117"/>
      <c r="L13" s="117"/>
      <c r="M13" s="117"/>
      <c r="N13" s="117"/>
    </row>
    <row r="14" spans="1:7" ht="17.25" customHeight="1">
      <c r="A14" s="970">
        <v>5</v>
      </c>
      <c r="B14" s="860" t="s">
        <v>1407</v>
      </c>
      <c r="C14" s="970">
        <v>7130870013</v>
      </c>
      <c r="D14" s="960" t="s">
        <v>19</v>
      </c>
      <c r="E14" s="969">
        <v>1</v>
      </c>
      <c r="F14" s="275">
        <f>VLOOKUP(C14,'SOR RATE'!A:D,4,0)</f>
        <v>114.85</v>
      </c>
      <c r="G14" s="962">
        <f t="shared" si="0"/>
        <v>114.85</v>
      </c>
    </row>
    <row r="15" spans="1:9" ht="15">
      <c r="A15" s="276">
        <v>6</v>
      </c>
      <c r="B15" s="916" t="s">
        <v>566</v>
      </c>
      <c r="C15" s="769"/>
      <c r="D15" s="769"/>
      <c r="E15" s="535"/>
      <c r="F15" s="535"/>
      <c r="G15" s="744">
        <f>SUM(G8:G14)</f>
        <v>7921.560883599999</v>
      </c>
      <c r="H15" s="379"/>
      <c r="I15" s="430"/>
    </row>
    <row r="16" spans="1:9" ht="16.5" customHeight="1">
      <c r="A16" s="536">
        <v>7</v>
      </c>
      <c r="B16" s="918" t="s">
        <v>565</v>
      </c>
      <c r="C16" s="572"/>
      <c r="D16" s="572"/>
      <c r="E16" s="572"/>
      <c r="F16" s="496">
        <v>0.09</v>
      </c>
      <c r="G16" s="275">
        <f>G15*F16</f>
        <v>712.9404795239999</v>
      </c>
      <c r="H16" s="379"/>
      <c r="I16" s="430"/>
    </row>
    <row r="17" spans="1:8" ht="16.5" customHeight="1">
      <c r="A17" s="536">
        <v>8</v>
      </c>
      <c r="B17" s="802" t="s">
        <v>1746</v>
      </c>
      <c r="C17" s="802"/>
      <c r="D17" s="496" t="s">
        <v>903</v>
      </c>
      <c r="E17" s="496">
        <v>0.35</v>
      </c>
      <c r="F17" s="275">
        <f>453*1.2778</f>
        <v>578.8434</v>
      </c>
      <c r="G17" s="275">
        <f>E17*F17</f>
        <v>202.59518999999997</v>
      </c>
      <c r="H17" s="558"/>
    </row>
    <row r="18" spans="1:10" ht="18.75" customHeight="1">
      <c r="A18" s="496">
        <v>9</v>
      </c>
      <c r="B18" s="720" t="s">
        <v>1508</v>
      </c>
      <c r="C18" s="528"/>
      <c r="D18" s="502"/>
      <c r="E18" s="496"/>
      <c r="F18" s="496"/>
      <c r="G18" s="275">
        <v>1902.86</v>
      </c>
      <c r="H18" s="431"/>
      <c r="I18" s="54"/>
      <c r="J18" s="18"/>
    </row>
    <row r="19" spans="1:9" ht="17.25" customHeight="1">
      <c r="A19" s="496">
        <v>10</v>
      </c>
      <c r="B19" s="860" t="s">
        <v>80</v>
      </c>
      <c r="C19" s="133"/>
      <c r="D19" s="578"/>
      <c r="E19" s="63"/>
      <c r="F19" s="63"/>
      <c r="G19" s="275">
        <f>(619.41*1.88%)+619.41</f>
        <v>631.054908</v>
      </c>
      <c r="H19" s="622"/>
      <c r="I19" s="295"/>
    </row>
    <row r="20" spans="1:8" ht="18" customHeight="1">
      <c r="A20" s="525">
        <v>11</v>
      </c>
      <c r="B20" s="916" t="s">
        <v>567</v>
      </c>
      <c r="C20" s="133"/>
      <c r="D20" s="578"/>
      <c r="E20" s="63"/>
      <c r="F20" s="63"/>
      <c r="G20" s="278">
        <f>G15+G16+G17+G18+G19</f>
        <v>11371.011461124</v>
      </c>
      <c r="H20" s="383"/>
    </row>
    <row r="21" spans="1:8" ht="31.5" customHeight="1">
      <c r="A21" s="536">
        <v>12</v>
      </c>
      <c r="B21" s="918" t="s">
        <v>1747</v>
      </c>
      <c r="C21" s="133"/>
      <c r="D21" s="578"/>
      <c r="E21" s="63"/>
      <c r="F21" s="496">
        <v>0.125</v>
      </c>
      <c r="G21" s="275">
        <f>G15*F21</f>
        <v>990.1951104499999</v>
      </c>
      <c r="H21" s="120"/>
    </row>
    <row r="22" spans="1:7" ht="17.25" customHeight="1">
      <c r="A22" s="496">
        <v>13</v>
      </c>
      <c r="B22" s="502" t="s">
        <v>1509</v>
      </c>
      <c r="C22" s="578"/>
      <c r="D22" s="578"/>
      <c r="E22" s="63"/>
      <c r="F22" s="63"/>
      <c r="G22" s="275">
        <f>G20+G21</f>
        <v>12361.206571574001</v>
      </c>
    </row>
    <row r="23" spans="1:7" ht="19.5" customHeight="1">
      <c r="A23" s="525">
        <v>14</v>
      </c>
      <c r="B23" s="971" t="s">
        <v>1510</v>
      </c>
      <c r="C23" s="972"/>
      <c r="D23" s="972"/>
      <c r="E23" s="972"/>
      <c r="F23" s="972"/>
      <c r="G23" s="278">
        <f>ROUND(G22,0)</f>
        <v>12361</v>
      </c>
    </row>
    <row r="26" spans="1:7" ht="12.75">
      <c r="A26" s="541"/>
      <c r="B26" s="33"/>
      <c r="C26" s="33"/>
      <c r="D26" s="33"/>
      <c r="E26" s="33"/>
      <c r="F26" s="33"/>
      <c r="G26" s="33"/>
    </row>
    <row r="27" spans="1:7" ht="12.75">
      <c r="A27" s="541"/>
      <c r="B27" s="33"/>
      <c r="C27" s="33"/>
      <c r="D27" s="33"/>
      <c r="E27" s="33"/>
      <c r="F27" s="33"/>
      <c r="G27" s="33"/>
    </row>
    <row r="28" spans="1:7" ht="12.75">
      <c r="A28" s="541"/>
      <c r="B28" s="33"/>
      <c r="C28" s="33"/>
      <c r="D28" s="33"/>
      <c r="E28" s="33"/>
      <c r="F28" s="33"/>
      <c r="G28" s="33"/>
    </row>
    <row r="29" spans="1:7" ht="12.75">
      <c r="A29" s="541"/>
      <c r="B29" s="33"/>
      <c r="C29" s="33"/>
      <c r="D29" s="33"/>
      <c r="E29" s="33"/>
      <c r="F29" s="33"/>
      <c r="G29" s="33"/>
    </row>
    <row r="30" spans="1:7" ht="12.75">
      <c r="A30" s="541"/>
      <c r="B30" s="33"/>
      <c r="C30" s="33"/>
      <c r="D30" s="33"/>
      <c r="E30" s="33"/>
      <c r="F30" s="33"/>
      <c r="G30" s="33"/>
    </row>
    <row r="31" spans="1:7" ht="12.75">
      <c r="A31" s="541"/>
      <c r="B31" s="33"/>
      <c r="C31" s="33"/>
      <c r="D31" s="33"/>
      <c r="E31" s="33"/>
      <c r="F31" s="33"/>
      <c r="G31" s="33"/>
    </row>
    <row r="32" spans="1:7" ht="12.75">
      <c r="A32" s="541"/>
      <c r="B32" s="33"/>
      <c r="C32" s="33"/>
      <c r="D32" s="33"/>
      <c r="E32" s="33"/>
      <c r="F32" s="33"/>
      <c r="G32" s="33"/>
    </row>
    <row r="33" spans="1:7" ht="12.75">
      <c r="A33" s="541"/>
      <c r="B33" s="33"/>
      <c r="C33" s="33"/>
      <c r="D33" s="33"/>
      <c r="E33" s="33"/>
      <c r="F33" s="33"/>
      <c r="G33" s="33"/>
    </row>
    <row r="34" spans="1:7" ht="12.75">
      <c r="A34" s="541"/>
      <c r="B34" s="33"/>
      <c r="C34" s="33"/>
      <c r="D34" s="33"/>
      <c r="E34" s="33"/>
      <c r="F34" s="33"/>
      <c r="G34" s="33"/>
    </row>
    <row r="35" spans="1:7" ht="12.75">
      <c r="A35" s="541"/>
      <c r="B35" s="33"/>
      <c r="C35" s="33"/>
      <c r="D35" s="33"/>
      <c r="E35" s="33"/>
      <c r="F35" s="33"/>
      <c r="G35" s="33"/>
    </row>
    <row r="36" spans="1:7" ht="12.75">
      <c r="A36" s="541"/>
      <c r="B36" s="33"/>
      <c r="C36" s="33"/>
      <c r="D36" s="33"/>
      <c r="E36" s="33"/>
      <c r="F36" s="33"/>
      <c r="G36" s="33"/>
    </row>
    <row r="37" spans="1:7" ht="12.75">
      <c r="A37" s="541"/>
      <c r="B37" s="33"/>
      <c r="C37" s="33"/>
      <c r="D37" s="33"/>
      <c r="E37" s="33"/>
      <c r="F37" s="33"/>
      <c r="G37" s="33"/>
    </row>
    <row r="38" spans="1:7" ht="12.75">
      <c r="A38" s="541"/>
      <c r="B38" s="33"/>
      <c r="C38" s="33"/>
      <c r="D38" s="33"/>
      <c r="E38" s="33"/>
      <c r="F38" s="33"/>
      <c r="G38" s="33"/>
    </row>
    <row r="39" spans="1:7" ht="12.75">
      <c r="A39" s="541"/>
      <c r="B39" s="33"/>
      <c r="C39" s="33"/>
      <c r="D39" s="33"/>
      <c r="E39" s="33"/>
      <c r="F39" s="33"/>
      <c r="G39" s="33"/>
    </row>
    <row r="40" spans="1:7" ht="12.75">
      <c r="A40" s="541"/>
      <c r="B40" s="33"/>
      <c r="C40" s="33"/>
      <c r="D40" s="33"/>
      <c r="E40" s="33"/>
      <c r="F40" s="33"/>
      <c r="G40" s="33"/>
    </row>
    <row r="41" spans="1:7" ht="12.75">
      <c r="A41" s="541"/>
      <c r="B41" s="33"/>
      <c r="C41" s="33"/>
      <c r="D41" s="33"/>
      <c r="E41" s="33"/>
      <c r="F41" s="33"/>
      <c r="G41" s="33"/>
    </row>
    <row r="42" spans="1:7" ht="12.75">
      <c r="A42" s="541"/>
      <c r="B42" s="33"/>
      <c r="C42" s="33"/>
      <c r="D42" s="33"/>
      <c r="E42" s="33"/>
      <c r="F42" s="33"/>
      <c r="G42" s="33"/>
    </row>
    <row r="43" spans="1:7" ht="12.75">
      <c r="A43" s="541"/>
      <c r="B43" s="33"/>
      <c r="C43" s="33"/>
      <c r="D43" s="33"/>
      <c r="E43" s="33"/>
      <c r="F43" s="33"/>
      <c r="G43" s="33"/>
    </row>
    <row r="44" spans="1:7" ht="12.75">
      <c r="A44" s="541"/>
      <c r="B44" s="33"/>
      <c r="C44" s="33"/>
      <c r="D44" s="33"/>
      <c r="E44" s="33"/>
      <c r="F44" s="33"/>
      <c r="G44" s="33"/>
    </row>
    <row r="45" spans="1:7" ht="12.75">
      <c r="A45" s="541"/>
      <c r="B45" s="33"/>
      <c r="C45" s="33"/>
      <c r="D45" s="33"/>
      <c r="E45" s="33"/>
      <c r="F45" s="33"/>
      <c r="G45" s="33"/>
    </row>
    <row r="46" spans="1:7" ht="12.75">
      <c r="A46" s="541"/>
      <c r="B46" s="33"/>
      <c r="C46" s="33"/>
      <c r="D46" s="33"/>
      <c r="E46" s="33"/>
      <c r="F46" s="33"/>
      <c r="G46" s="33"/>
    </row>
    <row r="47" spans="1:7" ht="12.75">
      <c r="A47" s="541"/>
      <c r="B47" s="33"/>
      <c r="C47" s="33"/>
      <c r="D47" s="33"/>
      <c r="E47" s="33"/>
      <c r="F47" s="33"/>
      <c r="G47" s="33"/>
    </row>
    <row r="48" spans="1:7" ht="12.75">
      <c r="A48" s="541"/>
      <c r="B48" s="33"/>
      <c r="C48" s="33"/>
      <c r="D48" s="33"/>
      <c r="E48" s="33"/>
      <c r="F48" s="33"/>
      <c r="G48" s="33"/>
    </row>
    <row r="49" spans="1:7" ht="12.75">
      <c r="A49" s="541"/>
      <c r="B49" s="33"/>
      <c r="C49" s="33"/>
      <c r="D49" s="33"/>
      <c r="E49" s="33"/>
      <c r="F49" s="33"/>
      <c r="G49" s="33"/>
    </row>
    <row r="50" spans="1:7" ht="12.75">
      <c r="A50" s="541"/>
      <c r="B50" s="33"/>
      <c r="C50" s="33"/>
      <c r="D50" s="33"/>
      <c r="E50" s="33"/>
      <c r="F50" s="33"/>
      <c r="G50" s="33"/>
    </row>
    <row r="51" spans="1:7" ht="12.75">
      <c r="A51" s="541"/>
      <c r="B51" s="33"/>
      <c r="C51" s="33"/>
      <c r="D51" s="33"/>
      <c r="E51" s="33"/>
      <c r="F51" s="33"/>
      <c r="G51" s="33"/>
    </row>
    <row r="52" spans="1:7" ht="12.75">
      <c r="A52" s="541"/>
      <c r="B52" s="33"/>
      <c r="C52" s="33"/>
      <c r="D52" s="33"/>
      <c r="E52" s="33"/>
      <c r="F52" s="33"/>
      <c r="G52" s="33"/>
    </row>
    <row r="53" spans="1:7" ht="12.75">
      <c r="A53" s="541"/>
      <c r="B53" s="33"/>
      <c r="C53" s="33"/>
      <c r="D53" s="33"/>
      <c r="E53" s="33"/>
      <c r="F53" s="33"/>
      <c r="G53" s="33"/>
    </row>
    <row r="54" spans="1:7" ht="12.75">
      <c r="A54" s="541"/>
      <c r="B54" s="33"/>
      <c r="C54" s="33"/>
      <c r="D54" s="33"/>
      <c r="E54" s="33"/>
      <c r="F54" s="33"/>
      <c r="G54" s="33"/>
    </row>
    <row r="55" spans="1:7" ht="12.75">
      <c r="A55" s="541"/>
      <c r="B55" s="33"/>
      <c r="C55" s="33"/>
      <c r="D55" s="33"/>
      <c r="E55" s="33"/>
      <c r="F55" s="33"/>
      <c r="G55" s="33"/>
    </row>
    <row r="56" spans="1:7" ht="12.75">
      <c r="A56" s="541"/>
      <c r="B56" s="33"/>
      <c r="C56" s="33"/>
      <c r="D56" s="33"/>
      <c r="E56" s="33"/>
      <c r="F56" s="33"/>
      <c r="G56" s="33"/>
    </row>
    <row r="57" spans="1:7" ht="12.75">
      <c r="A57" s="541"/>
      <c r="B57" s="33"/>
      <c r="C57" s="33"/>
      <c r="D57" s="33"/>
      <c r="E57" s="33"/>
      <c r="F57" s="33"/>
      <c r="G57" s="33"/>
    </row>
    <row r="58" spans="1:7" ht="12.75">
      <c r="A58" s="541"/>
      <c r="B58" s="33"/>
      <c r="C58" s="33"/>
      <c r="D58" s="33"/>
      <c r="E58" s="33"/>
      <c r="F58" s="33"/>
      <c r="G58" s="33"/>
    </row>
    <row r="59" spans="1:7" ht="12.75">
      <c r="A59" s="541"/>
      <c r="B59" s="33"/>
      <c r="C59" s="33"/>
      <c r="D59" s="33"/>
      <c r="E59" s="33"/>
      <c r="F59" s="33"/>
      <c r="G59" s="33"/>
    </row>
    <row r="60" spans="1:7" ht="12.75">
      <c r="A60" s="541"/>
      <c r="B60" s="33"/>
      <c r="C60" s="33"/>
      <c r="D60" s="33"/>
      <c r="E60" s="33"/>
      <c r="F60" s="33"/>
      <c r="G60" s="33"/>
    </row>
    <row r="61" spans="1:7" ht="12.75">
      <c r="A61" s="541"/>
      <c r="B61" s="33"/>
      <c r="C61" s="33"/>
      <c r="D61" s="33"/>
      <c r="E61" s="33"/>
      <c r="F61" s="33"/>
      <c r="G61" s="33"/>
    </row>
    <row r="62" spans="1:7" ht="12.75">
      <c r="A62" s="541"/>
      <c r="B62" s="33"/>
      <c r="C62" s="33"/>
      <c r="D62" s="33"/>
      <c r="E62" s="33"/>
      <c r="F62" s="33"/>
      <c r="G62" s="33"/>
    </row>
    <row r="63" spans="1:7" ht="12.75">
      <c r="A63" s="541"/>
      <c r="B63" s="33"/>
      <c r="C63" s="33"/>
      <c r="D63" s="33"/>
      <c r="E63" s="33"/>
      <c r="F63" s="33"/>
      <c r="G63" s="33"/>
    </row>
    <row r="64" spans="1:7" ht="12.75">
      <c r="A64" s="541"/>
      <c r="B64" s="33"/>
      <c r="C64" s="33"/>
      <c r="D64" s="33"/>
      <c r="E64" s="33"/>
      <c r="F64" s="33"/>
      <c r="G64" s="33"/>
    </row>
    <row r="65" spans="1:7" ht="12.75">
      <c r="A65" s="541"/>
      <c r="B65" s="33"/>
      <c r="C65" s="33"/>
      <c r="D65" s="33"/>
      <c r="E65" s="33"/>
      <c r="F65" s="33"/>
      <c r="G65" s="33"/>
    </row>
    <row r="66" spans="1:7" ht="12.75">
      <c r="A66" s="541"/>
      <c r="B66" s="33"/>
      <c r="C66" s="33"/>
      <c r="D66" s="33"/>
      <c r="E66" s="33"/>
      <c r="F66" s="33"/>
      <c r="G66" s="33"/>
    </row>
    <row r="67" spans="1:7" ht="12.75">
      <c r="A67" s="541"/>
      <c r="B67" s="33"/>
      <c r="C67" s="33"/>
      <c r="D67" s="33"/>
      <c r="E67" s="33"/>
      <c r="F67" s="33"/>
      <c r="G67" s="33"/>
    </row>
    <row r="68" spans="1:7" ht="12.75">
      <c r="A68" s="541"/>
      <c r="B68" s="33"/>
      <c r="C68" s="33"/>
      <c r="D68" s="33"/>
      <c r="E68" s="33"/>
      <c r="F68" s="33"/>
      <c r="G68" s="33"/>
    </row>
    <row r="69" spans="1:7" ht="12.75">
      <c r="A69" s="541"/>
      <c r="B69" s="33"/>
      <c r="C69" s="33"/>
      <c r="D69" s="33"/>
      <c r="E69" s="33"/>
      <c r="F69" s="33"/>
      <c r="G69" s="33"/>
    </row>
    <row r="70" spans="1:7" ht="12.75">
      <c r="A70" s="541"/>
      <c r="B70" s="33"/>
      <c r="C70" s="33"/>
      <c r="D70" s="33"/>
      <c r="E70" s="33"/>
      <c r="F70" s="33"/>
      <c r="G70" s="33"/>
    </row>
    <row r="71" spans="1:7" ht="12.75">
      <c r="A71" s="541"/>
      <c r="B71" s="33"/>
      <c r="C71" s="33"/>
      <c r="D71" s="33"/>
      <c r="E71" s="33"/>
      <c r="F71" s="33"/>
      <c r="G71" s="33"/>
    </row>
    <row r="72" spans="1:7" ht="12.75">
      <c r="A72" s="541"/>
      <c r="B72" s="33"/>
      <c r="C72" s="33"/>
      <c r="D72" s="33"/>
      <c r="E72" s="33"/>
      <c r="F72" s="33"/>
      <c r="G72" s="33"/>
    </row>
    <row r="73" spans="1:7" ht="12.75">
      <c r="A73" s="541"/>
      <c r="B73" s="33"/>
      <c r="C73" s="33"/>
      <c r="D73" s="33"/>
      <c r="E73" s="33"/>
      <c r="F73" s="33"/>
      <c r="G73" s="33"/>
    </row>
    <row r="74" spans="1:7" ht="12.75">
      <c r="A74" s="541"/>
      <c r="B74" s="33"/>
      <c r="C74" s="33"/>
      <c r="D74" s="33"/>
      <c r="E74" s="33"/>
      <c r="F74" s="33"/>
      <c r="G74" s="33"/>
    </row>
    <row r="75" spans="1:7" ht="12.75">
      <c r="A75" s="541"/>
      <c r="B75" s="33"/>
      <c r="C75" s="33"/>
      <c r="D75" s="33"/>
      <c r="E75" s="33"/>
      <c r="F75" s="33"/>
      <c r="G75" s="33"/>
    </row>
    <row r="76" spans="1:7" ht="12.75">
      <c r="A76" s="541"/>
      <c r="B76" s="33"/>
      <c r="C76" s="33"/>
      <c r="D76" s="33"/>
      <c r="E76" s="33"/>
      <c r="F76" s="33"/>
      <c r="G76" s="33"/>
    </row>
    <row r="77" spans="1:7" ht="12.75">
      <c r="A77" s="541"/>
      <c r="B77" s="33"/>
      <c r="C77" s="33"/>
      <c r="D77" s="33"/>
      <c r="E77" s="33"/>
      <c r="F77" s="33"/>
      <c r="G77" s="33"/>
    </row>
    <row r="78" spans="1:7" ht="12.75">
      <c r="A78" s="541"/>
      <c r="B78" s="33"/>
      <c r="C78" s="33"/>
      <c r="D78" s="33"/>
      <c r="E78" s="33"/>
      <c r="F78" s="33"/>
      <c r="G78" s="33"/>
    </row>
    <row r="79" spans="1:7" ht="12.75">
      <c r="A79" s="541"/>
      <c r="B79" s="33"/>
      <c r="C79" s="33"/>
      <c r="D79" s="33"/>
      <c r="E79" s="33"/>
      <c r="F79" s="33"/>
      <c r="G79" s="33"/>
    </row>
    <row r="80" spans="1:7" ht="12.75">
      <c r="A80" s="541"/>
      <c r="B80" s="33"/>
      <c r="C80" s="33"/>
      <c r="D80" s="33"/>
      <c r="E80" s="33"/>
      <c r="F80" s="33"/>
      <c r="G80" s="33"/>
    </row>
    <row r="81" spans="1:7" ht="12.75">
      <c r="A81" s="541"/>
      <c r="B81" s="33"/>
      <c r="C81" s="33"/>
      <c r="D81" s="33"/>
      <c r="E81" s="33"/>
      <c r="F81" s="33"/>
      <c r="G81" s="33"/>
    </row>
    <row r="82" spans="1:7" ht="12.75">
      <c r="A82" s="541"/>
      <c r="B82" s="33"/>
      <c r="C82" s="33"/>
      <c r="D82" s="33"/>
      <c r="E82" s="33"/>
      <c r="F82" s="33"/>
      <c r="G82" s="33"/>
    </row>
    <row r="83" spans="1:7" ht="12.75">
      <c r="A83" s="541"/>
      <c r="B83" s="33"/>
      <c r="C83" s="33"/>
      <c r="D83" s="33"/>
      <c r="E83" s="33"/>
      <c r="F83" s="33"/>
      <c r="G83" s="33"/>
    </row>
    <row r="84" spans="1:7" ht="12.75">
      <c r="A84" s="541"/>
      <c r="B84" s="33"/>
      <c r="C84" s="33"/>
      <c r="D84" s="33"/>
      <c r="E84" s="33"/>
      <c r="F84" s="33"/>
      <c r="G84" s="33"/>
    </row>
    <row r="85" spans="1:7" ht="12.75">
      <c r="A85" s="541"/>
      <c r="B85" s="33"/>
      <c r="C85" s="33"/>
      <c r="D85" s="33"/>
      <c r="E85" s="33"/>
      <c r="F85" s="33"/>
      <c r="G85" s="33"/>
    </row>
    <row r="86" spans="1:7" ht="12.75">
      <c r="A86" s="541"/>
      <c r="B86" s="33"/>
      <c r="C86" s="33"/>
      <c r="D86" s="33"/>
      <c r="E86" s="33"/>
      <c r="F86" s="33"/>
      <c r="G86" s="33"/>
    </row>
    <row r="87" spans="1:7" ht="12.75">
      <c r="A87" s="541"/>
      <c r="B87" s="33"/>
      <c r="C87" s="33"/>
      <c r="D87" s="33"/>
      <c r="E87" s="33"/>
      <c r="F87" s="33"/>
      <c r="G87" s="33"/>
    </row>
    <row r="88" spans="1:7" ht="12.75">
      <c r="A88" s="541"/>
      <c r="B88" s="33"/>
      <c r="C88" s="33"/>
      <c r="D88" s="33"/>
      <c r="E88" s="33"/>
      <c r="F88" s="33"/>
      <c r="G88" s="33"/>
    </row>
    <row r="89" spans="1:7" ht="12.75">
      <c r="A89" s="541"/>
      <c r="B89" s="33"/>
      <c r="C89" s="33"/>
      <c r="D89" s="33"/>
      <c r="E89" s="33"/>
      <c r="F89" s="33"/>
      <c r="G89" s="33"/>
    </row>
    <row r="90" spans="1:7" ht="12.75">
      <c r="A90" s="541"/>
      <c r="B90" s="33"/>
      <c r="C90" s="33"/>
      <c r="D90" s="33"/>
      <c r="E90" s="33"/>
      <c r="F90" s="33"/>
      <c r="G90" s="33"/>
    </row>
    <row r="91" spans="1:7" ht="12.75">
      <c r="A91" s="541"/>
      <c r="B91" s="33"/>
      <c r="C91" s="33"/>
      <c r="D91" s="33"/>
      <c r="E91" s="33"/>
      <c r="F91" s="33"/>
      <c r="G91" s="33"/>
    </row>
    <row r="92" spans="1:7" ht="12.75">
      <c r="A92" s="541"/>
      <c r="B92" s="33"/>
      <c r="C92" s="33"/>
      <c r="D92" s="33"/>
      <c r="E92" s="33"/>
      <c r="F92" s="33"/>
      <c r="G92" s="33"/>
    </row>
    <row r="93" spans="1:7" ht="12.75">
      <c r="A93" s="541"/>
      <c r="B93" s="33"/>
      <c r="C93" s="33"/>
      <c r="D93" s="33"/>
      <c r="E93" s="33"/>
      <c r="F93" s="33"/>
      <c r="G93" s="33"/>
    </row>
    <row r="94" spans="1:7" ht="12.75">
      <c r="A94" s="541"/>
      <c r="B94" s="33"/>
      <c r="C94" s="33"/>
      <c r="D94" s="33"/>
      <c r="E94" s="33"/>
      <c r="F94" s="33"/>
      <c r="G94" s="33"/>
    </row>
    <row r="95" spans="1:7" ht="12.75">
      <c r="A95" s="541"/>
      <c r="B95" s="33"/>
      <c r="C95" s="33"/>
      <c r="D95" s="33"/>
      <c r="E95" s="33"/>
      <c r="F95" s="33"/>
      <c r="G95" s="33"/>
    </row>
    <row r="96" spans="1:7" ht="12.75">
      <c r="A96" s="541"/>
      <c r="B96" s="33"/>
      <c r="C96" s="33"/>
      <c r="D96" s="33"/>
      <c r="E96" s="33"/>
      <c r="F96" s="33"/>
      <c r="G96" s="33"/>
    </row>
    <row r="97" spans="1:7" ht="12.75">
      <c r="A97" s="541"/>
      <c r="B97" s="33"/>
      <c r="C97" s="33"/>
      <c r="D97" s="33"/>
      <c r="E97" s="33"/>
      <c r="F97" s="33"/>
      <c r="G97" s="33"/>
    </row>
    <row r="98" spans="1:7" ht="12.75">
      <c r="A98" s="541"/>
      <c r="B98" s="33"/>
      <c r="C98" s="33"/>
      <c r="D98" s="33"/>
      <c r="E98" s="33"/>
      <c r="F98" s="33"/>
      <c r="G98" s="33"/>
    </row>
    <row r="99" spans="1:7" ht="12.75">
      <c r="A99" s="541"/>
      <c r="B99" s="33"/>
      <c r="C99" s="33"/>
      <c r="D99" s="33"/>
      <c r="E99" s="33"/>
      <c r="F99" s="33"/>
      <c r="G99" s="33"/>
    </row>
    <row r="100" spans="1:7" ht="12.75">
      <c r="A100" s="541"/>
      <c r="B100" s="33"/>
      <c r="C100" s="33"/>
      <c r="D100" s="33"/>
      <c r="E100" s="33"/>
      <c r="F100" s="33"/>
      <c r="G100" s="33"/>
    </row>
    <row r="101" spans="1:7" ht="12.75">
      <c r="A101" s="541"/>
      <c r="B101" s="33"/>
      <c r="C101" s="33"/>
      <c r="D101" s="33"/>
      <c r="E101" s="33"/>
      <c r="F101" s="33"/>
      <c r="G101" s="33"/>
    </row>
    <row r="102" spans="1:7" ht="12.75">
      <c r="A102" s="541"/>
      <c r="B102" s="33"/>
      <c r="C102" s="33"/>
      <c r="D102" s="33"/>
      <c r="E102" s="33"/>
      <c r="F102" s="33"/>
      <c r="G102" s="33"/>
    </row>
    <row r="103" spans="1:7" ht="12.75">
      <c r="A103" s="541"/>
      <c r="B103" s="33"/>
      <c r="C103" s="33"/>
      <c r="D103" s="33"/>
      <c r="E103" s="33"/>
      <c r="F103" s="33"/>
      <c r="G103" s="33"/>
    </row>
    <row r="104" spans="1:7" ht="12.75">
      <c r="A104" s="541"/>
      <c r="B104" s="33"/>
      <c r="C104" s="33"/>
      <c r="D104" s="33"/>
      <c r="E104" s="33"/>
      <c r="F104" s="33"/>
      <c r="G104" s="33"/>
    </row>
    <row r="105" spans="1:7" ht="12.75">
      <c r="A105" s="541"/>
      <c r="B105" s="33"/>
      <c r="C105" s="33"/>
      <c r="D105" s="33"/>
      <c r="E105" s="33"/>
      <c r="F105" s="33"/>
      <c r="G105" s="33"/>
    </row>
    <row r="106" spans="1:7" ht="12.75">
      <c r="A106" s="541"/>
      <c r="B106" s="33"/>
      <c r="C106" s="33"/>
      <c r="D106" s="33"/>
      <c r="E106" s="33"/>
      <c r="F106" s="33"/>
      <c r="G106" s="33"/>
    </row>
    <row r="107" spans="1:7" ht="12.75">
      <c r="A107" s="541"/>
      <c r="B107" s="33"/>
      <c r="C107" s="33"/>
      <c r="D107" s="33"/>
      <c r="E107" s="33"/>
      <c r="F107" s="33"/>
      <c r="G107" s="33"/>
    </row>
    <row r="108" spans="1:7" ht="12.75">
      <c r="A108" s="541"/>
      <c r="B108" s="33"/>
      <c r="C108" s="33"/>
      <c r="D108" s="33"/>
      <c r="E108" s="33"/>
      <c r="F108" s="33"/>
      <c r="G108" s="33"/>
    </row>
    <row r="109" spans="1:7" ht="12.75">
      <c r="A109" s="541"/>
      <c r="B109" s="33"/>
      <c r="C109" s="33"/>
      <c r="D109" s="33"/>
      <c r="E109" s="33"/>
      <c r="F109" s="33"/>
      <c r="G109" s="33"/>
    </row>
    <row r="110" spans="1:7" ht="12.75">
      <c r="A110" s="541"/>
      <c r="B110" s="33"/>
      <c r="C110" s="33"/>
      <c r="D110" s="33"/>
      <c r="E110" s="33"/>
      <c r="F110" s="33"/>
      <c r="G110" s="33"/>
    </row>
  </sheetData>
  <sheetProtection/>
  <mergeCells count="2">
    <mergeCell ref="B1:F1"/>
    <mergeCell ref="B3:F3"/>
  </mergeCells>
  <printOptions/>
  <pageMargins left="0.9" right="0.12" top="1" bottom="0.27" header="0.5" footer="0.17"/>
  <pageSetup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60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I52" sqref="I52"/>
    </sheetView>
  </sheetViews>
  <sheetFormatPr defaultColWidth="9.140625" defaultRowHeight="12.75"/>
  <cols>
    <col min="1" max="1" width="4.8515625" style="540" customWidth="1"/>
    <col min="2" max="2" width="71.28125" style="1" customWidth="1"/>
    <col min="3" max="3" width="12.7109375" style="1" customWidth="1"/>
    <col min="4" max="4" width="6.00390625" style="1" customWidth="1"/>
    <col min="5" max="5" width="9.421875" style="1" customWidth="1"/>
    <col min="6" max="6" width="6.7109375" style="1" customWidth="1"/>
    <col min="7" max="7" width="14.00390625" style="1" customWidth="1"/>
    <col min="8" max="8" width="21.28125" style="1" customWidth="1"/>
    <col min="9" max="9" width="20.421875" style="1" customWidth="1"/>
    <col min="10" max="10" width="11.00390625" style="1" bestFit="1" customWidth="1"/>
    <col min="11" max="11" width="3.28125" style="1" bestFit="1" customWidth="1"/>
    <col min="12" max="12" width="2.7109375" style="1" customWidth="1"/>
    <col min="13" max="13" width="5.00390625" style="1" bestFit="1" customWidth="1"/>
    <col min="14" max="16384" width="9.140625" style="1" customWidth="1"/>
  </cols>
  <sheetData>
    <row r="1" spans="2:8" ht="18" customHeight="1">
      <c r="B1" s="1060" t="s">
        <v>1511</v>
      </c>
      <c r="C1" s="1060"/>
      <c r="D1" s="91"/>
      <c r="E1" s="91"/>
      <c r="F1" s="91"/>
      <c r="G1" s="91"/>
      <c r="H1" s="91"/>
    </row>
    <row r="2" spans="1:7" ht="9.75" customHeight="1">
      <c r="A2" s="92"/>
      <c r="B2" s="92"/>
      <c r="C2" s="92"/>
      <c r="D2" s="92"/>
      <c r="E2" s="92"/>
      <c r="F2" s="92"/>
      <c r="G2" s="92"/>
    </row>
    <row r="3" spans="2:7" ht="24" customHeight="1">
      <c r="B3" s="1068" t="s">
        <v>1512</v>
      </c>
      <c r="C3" s="1068"/>
      <c r="D3" s="1068"/>
      <c r="E3" s="1068"/>
      <c r="F3" s="1068"/>
      <c r="G3" s="116"/>
    </row>
    <row r="4" spans="1:7" ht="15.75">
      <c r="A4" s="329"/>
      <c r="B4" s="329"/>
      <c r="C4" s="329"/>
      <c r="D4" s="329"/>
      <c r="E4" s="329"/>
      <c r="F4" s="329"/>
      <c r="G4" s="329"/>
    </row>
    <row r="5" spans="1:7" ht="15.75">
      <c r="A5" s="106"/>
      <c r="B5" s="106"/>
      <c r="C5" s="106"/>
      <c r="D5" s="106"/>
      <c r="E5" s="106"/>
      <c r="F5" s="106"/>
      <c r="G5" s="555" t="s">
        <v>1823</v>
      </c>
    </row>
    <row r="6" spans="1:7" ht="8.25" customHeight="1">
      <c r="A6" s="106"/>
      <c r="B6" s="106"/>
      <c r="C6" s="106"/>
      <c r="D6" s="106"/>
      <c r="E6" s="106"/>
      <c r="F6" s="106"/>
      <c r="G6" s="290"/>
    </row>
    <row r="7" spans="1:7" ht="30">
      <c r="A7" s="521" t="s">
        <v>1225</v>
      </c>
      <c r="B7" s="521" t="s">
        <v>16</v>
      </c>
      <c r="C7" s="445" t="s">
        <v>1513</v>
      </c>
      <c r="D7" s="526" t="s">
        <v>17</v>
      </c>
      <c r="E7" s="526" t="s">
        <v>746</v>
      </c>
      <c r="F7" s="526" t="s">
        <v>18</v>
      </c>
      <c r="G7" s="526" t="s">
        <v>1176</v>
      </c>
    </row>
    <row r="8" spans="1:7" ht="15">
      <c r="A8" s="317" t="s">
        <v>910</v>
      </c>
      <c r="B8" s="317" t="s">
        <v>911</v>
      </c>
      <c r="C8" s="503">
        <v>3</v>
      </c>
      <c r="D8" s="503">
        <v>4</v>
      </c>
      <c r="E8" s="503">
        <v>5</v>
      </c>
      <c r="F8" s="503">
        <v>6</v>
      </c>
      <c r="G8" s="503">
        <v>7</v>
      </c>
    </row>
    <row r="9" spans="1:7" ht="15">
      <c r="A9" s="575">
        <v>1</v>
      </c>
      <c r="B9" s="720" t="s">
        <v>1751</v>
      </c>
      <c r="C9" s="973"/>
      <c r="D9" s="974"/>
      <c r="E9" s="974"/>
      <c r="F9" s="974"/>
      <c r="G9" s="975"/>
    </row>
    <row r="10" spans="1:8" ht="15" customHeight="1">
      <c r="A10" s="554" t="s">
        <v>975</v>
      </c>
      <c r="B10" s="528" t="s">
        <v>1772</v>
      </c>
      <c r="C10" s="976">
        <v>7132210018</v>
      </c>
      <c r="D10" s="785" t="s">
        <v>19</v>
      </c>
      <c r="E10" s="762">
        <f>VLOOKUP(C10,'SOR RATE'!A:D,4,0)</f>
        <v>49457.85</v>
      </c>
      <c r="F10" s="977">
        <v>5</v>
      </c>
      <c r="G10" s="978">
        <f aca="true" t="shared" si="0" ref="G10:G33">F10*E10</f>
        <v>247289.25</v>
      </c>
      <c r="H10" s="579"/>
    </row>
    <row r="11" spans="1:8" ht="15" customHeight="1">
      <c r="A11" s="554" t="s">
        <v>4</v>
      </c>
      <c r="B11" s="274" t="s">
        <v>1771</v>
      </c>
      <c r="C11" s="836">
        <v>7132210017</v>
      </c>
      <c r="D11" s="553" t="s">
        <v>19</v>
      </c>
      <c r="E11" s="275">
        <f>VLOOKUP(C11,'SOR RATE'!A:D,4,0)</f>
        <v>44158.56</v>
      </c>
      <c r="F11" s="553">
        <v>4</v>
      </c>
      <c r="G11" s="979">
        <f t="shared" si="0"/>
        <v>176634.24</v>
      </c>
      <c r="H11" s="579"/>
    </row>
    <row r="12" spans="1:7" ht="15.75" customHeight="1">
      <c r="A12" s="553">
        <v>2</v>
      </c>
      <c r="B12" s="980" t="s">
        <v>1514</v>
      </c>
      <c r="C12" s="779">
        <v>7130800012</v>
      </c>
      <c r="D12" s="779" t="s">
        <v>19</v>
      </c>
      <c r="E12" s="275">
        <f>VLOOKUP(C12,'SOR RATE'!A:D,4,0)</f>
        <v>2255.2</v>
      </c>
      <c r="F12" s="981">
        <v>10</v>
      </c>
      <c r="G12" s="979">
        <f t="shared" si="0"/>
        <v>22552</v>
      </c>
    </row>
    <row r="13" spans="1:7" ht="16.5" customHeight="1">
      <c r="A13" s="1097">
        <v>3</v>
      </c>
      <c r="B13" s="279" t="s">
        <v>1515</v>
      </c>
      <c r="C13" s="982">
        <v>7130860032</v>
      </c>
      <c r="D13" s="553" t="s">
        <v>19</v>
      </c>
      <c r="E13" s="275">
        <f>VLOOKUP(C13,'SOR RATE'!A:D,4,0)</f>
        <v>441.23</v>
      </c>
      <c r="F13" s="981">
        <v>40</v>
      </c>
      <c r="G13" s="979">
        <f t="shared" si="0"/>
        <v>17649.2</v>
      </c>
    </row>
    <row r="14" spans="1:7" ht="18" customHeight="1">
      <c r="A14" s="1098"/>
      <c r="B14" s="279" t="s">
        <v>1516</v>
      </c>
      <c r="C14" s="982">
        <v>7130860077</v>
      </c>
      <c r="D14" s="553" t="s">
        <v>907</v>
      </c>
      <c r="E14" s="275">
        <f>VLOOKUP(C14,'SOR RATE'!A:D,4,0)/1000</f>
        <v>70.43964</v>
      </c>
      <c r="F14" s="981">
        <v>220</v>
      </c>
      <c r="G14" s="979">
        <f t="shared" si="0"/>
        <v>15496.7208</v>
      </c>
    </row>
    <row r="15" spans="1:7" ht="14.25" customHeight="1">
      <c r="A15" s="1099"/>
      <c r="B15" s="279" t="s">
        <v>1517</v>
      </c>
      <c r="C15" s="983">
        <v>7130810026</v>
      </c>
      <c r="D15" s="902" t="s">
        <v>745</v>
      </c>
      <c r="E15" s="275">
        <f>VLOOKUP(C15,'SOR RATE'!A182:D182,4,0)</f>
        <v>155.99</v>
      </c>
      <c r="F15" s="981">
        <v>40</v>
      </c>
      <c r="G15" s="979">
        <f t="shared" si="0"/>
        <v>6239.6</v>
      </c>
    </row>
    <row r="16" spans="1:7" ht="32.25" customHeight="1">
      <c r="A16" s="984">
        <v>4</v>
      </c>
      <c r="B16" s="985" t="s">
        <v>1518</v>
      </c>
      <c r="C16" s="986">
        <v>7130850201</v>
      </c>
      <c r="D16" s="781" t="s">
        <v>748</v>
      </c>
      <c r="E16" s="275">
        <f>VLOOKUP(C16,'SOR RATE'!A260:D260,4,0)</f>
        <v>4590.18</v>
      </c>
      <c r="F16" s="981">
        <v>11</v>
      </c>
      <c r="G16" s="979">
        <f t="shared" si="0"/>
        <v>50491.98</v>
      </c>
    </row>
    <row r="17" spans="1:9" ht="14.25">
      <c r="A17" s="984">
        <v>5</v>
      </c>
      <c r="B17" s="985" t="s">
        <v>1519</v>
      </c>
      <c r="C17" s="767">
        <v>7130810509</v>
      </c>
      <c r="D17" s="493" t="s">
        <v>748</v>
      </c>
      <c r="E17" s="275">
        <f>VLOOKUP(C17,'SOR RATE'!A197:D197,4,0)</f>
        <v>1676.77</v>
      </c>
      <c r="F17" s="981">
        <v>11</v>
      </c>
      <c r="G17" s="979">
        <f t="shared" si="0"/>
        <v>18444.47</v>
      </c>
      <c r="I17" s="26"/>
    </row>
    <row r="18" spans="1:7" ht="14.25">
      <c r="A18" s="984">
        <v>6</v>
      </c>
      <c r="B18" s="985" t="s">
        <v>1520</v>
      </c>
      <c r="C18" s="986">
        <v>7130850201</v>
      </c>
      <c r="D18" s="781" t="s">
        <v>748</v>
      </c>
      <c r="E18" s="275">
        <f>VLOOKUP(C18,'SOR RATE'!A260:D260,4,0)</f>
        <v>4590.18</v>
      </c>
      <c r="F18" s="981">
        <v>11</v>
      </c>
      <c r="G18" s="979">
        <f t="shared" si="0"/>
        <v>50491.98</v>
      </c>
    </row>
    <row r="19" spans="1:7" ht="14.25">
      <c r="A19" s="984">
        <v>7</v>
      </c>
      <c r="B19" s="985" t="s">
        <v>1521</v>
      </c>
      <c r="C19" s="779">
        <v>7130810681</v>
      </c>
      <c r="D19" s="496" t="s">
        <v>748</v>
      </c>
      <c r="E19" s="275">
        <f>VLOOKUP(C19,'SOR RATE'!A:D,4,0)</f>
        <v>3257.64</v>
      </c>
      <c r="F19" s="981">
        <v>10</v>
      </c>
      <c r="G19" s="979">
        <f t="shared" si="0"/>
        <v>32576.399999999998</v>
      </c>
    </row>
    <row r="20" spans="1:7" ht="14.25">
      <c r="A20" s="984">
        <v>8</v>
      </c>
      <c r="B20" s="985" t="s">
        <v>1522</v>
      </c>
      <c r="C20" s="837">
        <v>7130820241</v>
      </c>
      <c r="D20" s="493" t="s">
        <v>19</v>
      </c>
      <c r="E20" s="275">
        <f>VLOOKUP(C20,'SOR RATE'!A:D,4,0)</f>
        <v>119.62</v>
      </c>
      <c r="F20" s="981">
        <v>60</v>
      </c>
      <c r="G20" s="979">
        <f t="shared" si="0"/>
        <v>7177.200000000001</v>
      </c>
    </row>
    <row r="21" spans="1:7" ht="14.25">
      <c r="A21" s="984">
        <v>9</v>
      </c>
      <c r="B21" s="985" t="s">
        <v>1354</v>
      </c>
      <c r="C21" s="837">
        <v>7130820010</v>
      </c>
      <c r="D21" s="493" t="s">
        <v>19</v>
      </c>
      <c r="E21" s="275">
        <f>VLOOKUP(C21,'SOR RATE'!A213:D213,4,0)</f>
        <v>128.45</v>
      </c>
      <c r="F21" s="981">
        <v>60</v>
      </c>
      <c r="G21" s="979">
        <f t="shared" si="0"/>
        <v>7706.999999999999</v>
      </c>
    </row>
    <row r="22" spans="1:9" ht="14.25">
      <c r="A22" s="984">
        <v>10</v>
      </c>
      <c r="B22" s="985" t="s">
        <v>1523</v>
      </c>
      <c r="C22" s="837">
        <v>7130840029</v>
      </c>
      <c r="D22" s="493" t="s">
        <v>19</v>
      </c>
      <c r="E22" s="275">
        <f>VLOOKUP(C22,'SOR RATE'!A:D,4,0)</f>
        <v>504.66</v>
      </c>
      <c r="F22" s="981">
        <v>33</v>
      </c>
      <c r="G22" s="979">
        <f t="shared" si="0"/>
        <v>16653.780000000002</v>
      </c>
      <c r="I22" s="79"/>
    </row>
    <row r="23" spans="1:7" ht="14.25">
      <c r="A23" s="984">
        <v>11</v>
      </c>
      <c r="B23" s="985" t="s">
        <v>1524</v>
      </c>
      <c r="C23" s="837">
        <v>7131930412</v>
      </c>
      <c r="D23" s="493" t="s">
        <v>19</v>
      </c>
      <c r="E23" s="275">
        <f>VLOOKUP(C23,'SOR RATE'!A:D,4,0)</f>
        <v>1177.88</v>
      </c>
      <c r="F23" s="981">
        <v>33</v>
      </c>
      <c r="G23" s="979">
        <f t="shared" si="0"/>
        <v>38870.04</v>
      </c>
    </row>
    <row r="24" spans="1:7" s="16" customFormat="1" ht="17.25" customHeight="1">
      <c r="A24" s="984">
        <v>12</v>
      </c>
      <c r="B24" s="985" t="s">
        <v>1525</v>
      </c>
      <c r="C24" s="987"/>
      <c r="D24" s="780" t="s">
        <v>19</v>
      </c>
      <c r="E24" s="780">
        <v>16000</v>
      </c>
      <c r="F24" s="981">
        <v>7</v>
      </c>
      <c r="G24" s="979">
        <f t="shared" si="0"/>
        <v>112000</v>
      </c>
    </row>
    <row r="25" spans="1:7" s="16" customFormat="1" ht="17.25" customHeight="1">
      <c r="A25" s="984">
        <v>13</v>
      </c>
      <c r="B25" s="985" t="s">
        <v>1526</v>
      </c>
      <c r="C25" s="987"/>
      <c r="D25" s="780" t="s">
        <v>19</v>
      </c>
      <c r="E25" s="780">
        <v>13000</v>
      </c>
      <c r="F25" s="981">
        <v>4</v>
      </c>
      <c r="G25" s="979">
        <f t="shared" si="0"/>
        <v>52000</v>
      </c>
    </row>
    <row r="26" spans="1:13" s="16" customFormat="1" ht="15.75" customHeight="1">
      <c r="A26" s="984">
        <v>14</v>
      </c>
      <c r="B26" s="985" t="s">
        <v>1527</v>
      </c>
      <c r="C26" s="982">
        <v>7130310021</v>
      </c>
      <c r="D26" s="493" t="s">
        <v>980</v>
      </c>
      <c r="E26" s="275">
        <f>VLOOKUP(C26,'SOR RATE'!A:D,4,0)/1000</f>
        <v>28.15659</v>
      </c>
      <c r="F26" s="553">
        <v>220</v>
      </c>
      <c r="G26" s="979">
        <f t="shared" si="0"/>
        <v>6194.4498</v>
      </c>
      <c r="I26" s="305"/>
      <c r="J26" s="305"/>
      <c r="K26" s="305"/>
      <c r="L26" s="305"/>
      <c r="M26" s="305"/>
    </row>
    <row r="27" spans="1:13" s="16" customFormat="1" ht="16.5" customHeight="1">
      <c r="A27" s="984">
        <v>15</v>
      </c>
      <c r="B27" s="985" t="s">
        <v>1528</v>
      </c>
      <c r="C27" s="837">
        <v>7130310044</v>
      </c>
      <c r="D27" s="493" t="s">
        <v>980</v>
      </c>
      <c r="E27" s="275">
        <f>VLOOKUP(C27,'SOR RATE'!A:D,4,0)/1000</f>
        <v>55.8925</v>
      </c>
      <c r="F27" s="553">
        <v>10400</v>
      </c>
      <c r="G27" s="979">
        <f t="shared" si="0"/>
        <v>581282</v>
      </c>
      <c r="I27" s="79"/>
      <c r="J27" s="79"/>
      <c r="K27" s="79"/>
      <c r="L27" s="79"/>
      <c r="M27" s="79"/>
    </row>
    <row r="28" spans="1:7" ht="14.25">
      <c r="A28" s="984">
        <v>16</v>
      </c>
      <c r="B28" s="985" t="s">
        <v>1529</v>
      </c>
      <c r="C28" s="837">
        <v>7130641396</v>
      </c>
      <c r="D28" s="493" t="s">
        <v>980</v>
      </c>
      <c r="E28" s="275">
        <f>VLOOKUP(C28,'SOR RATE'!A:D,4,0)</f>
        <v>215.22</v>
      </c>
      <c r="F28" s="981">
        <v>99</v>
      </c>
      <c r="G28" s="979">
        <f t="shared" si="0"/>
        <v>21306.78</v>
      </c>
    </row>
    <row r="29" spans="1:7" ht="14.25">
      <c r="A29" s="984">
        <v>17</v>
      </c>
      <c r="B29" s="985" t="s">
        <v>1361</v>
      </c>
      <c r="C29" s="837">
        <v>7130870043</v>
      </c>
      <c r="D29" s="493" t="s">
        <v>907</v>
      </c>
      <c r="E29" s="275">
        <f>VLOOKUP(C29,'SOR RATE'!A:D,4,0)/1000</f>
        <v>62.99996</v>
      </c>
      <c r="F29" s="981">
        <v>660</v>
      </c>
      <c r="G29" s="979">
        <f t="shared" si="0"/>
        <v>41579.9736</v>
      </c>
    </row>
    <row r="30" spans="1:9" ht="14.25">
      <c r="A30" s="984">
        <v>18</v>
      </c>
      <c r="B30" s="985" t="s">
        <v>1530</v>
      </c>
      <c r="C30" s="768">
        <v>7130810495</v>
      </c>
      <c r="D30" s="493" t="s">
        <v>19</v>
      </c>
      <c r="E30" s="275">
        <f>VLOOKUP(C30,'SOR RATE'!A:D,4,0)</f>
        <v>1057.95</v>
      </c>
      <c r="F30" s="981">
        <v>65</v>
      </c>
      <c r="G30" s="979">
        <f t="shared" si="0"/>
        <v>68766.75</v>
      </c>
      <c r="I30" s="26"/>
    </row>
    <row r="31" spans="1:9" ht="14.25">
      <c r="A31" s="984">
        <v>19</v>
      </c>
      <c r="B31" s="985" t="s">
        <v>1531</v>
      </c>
      <c r="C31" s="768">
        <v>7130810679</v>
      </c>
      <c r="D31" s="493" t="s">
        <v>19</v>
      </c>
      <c r="E31" s="275">
        <f>VLOOKUP(C31,'SOR RATE'!A:D,4,0)</f>
        <v>296.79</v>
      </c>
      <c r="F31" s="981">
        <v>65</v>
      </c>
      <c r="G31" s="979">
        <f t="shared" si="0"/>
        <v>19291.350000000002</v>
      </c>
      <c r="I31" s="26"/>
    </row>
    <row r="32" spans="1:10" ht="16.5" customHeight="1">
      <c r="A32" s="984">
        <v>20</v>
      </c>
      <c r="B32" s="985" t="s">
        <v>722</v>
      </c>
      <c r="C32" s="768">
        <v>7130820008</v>
      </c>
      <c r="D32" s="493" t="s">
        <v>19</v>
      </c>
      <c r="E32" s="275">
        <f>VLOOKUP(C32,'SOR RATE'!A:D,4,0)</f>
        <v>142.14</v>
      </c>
      <c r="F32" s="981">
        <v>195</v>
      </c>
      <c r="G32" s="979">
        <f t="shared" si="0"/>
        <v>27717.299999999996</v>
      </c>
      <c r="I32" s="79"/>
      <c r="J32" s="79"/>
    </row>
    <row r="33" spans="1:7" ht="17.25" customHeight="1">
      <c r="A33" s="553">
        <v>21</v>
      </c>
      <c r="B33" s="279" t="s">
        <v>1446</v>
      </c>
      <c r="C33" s="779">
        <v>7130870013</v>
      </c>
      <c r="D33" s="553" t="s">
        <v>19</v>
      </c>
      <c r="E33" s="275">
        <f>VLOOKUP(C33,'SOR RATE'!A:D,4,0)</f>
        <v>114.85</v>
      </c>
      <c r="F33" s="981">
        <v>65</v>
      </c>
      <c r="G33" s="979">
        <f t="shared" si="0"/>
        <v>7465.25</v>
      </c>
    </row>
    <row r="34" spans="1:7" ht="15">
      <c r="A34" s="1097">
        <v>22</v>
      </c>
      <c r="B34" s="980" t="s">
        <v>908</v>
      </c>
      <c r="C34" s="982"/>
      <c r="D34" s="553" t="s">
        <v>907</v>
      </c>
      <c r="E34" s="780"/>
      <c r="F34" s="988">
        <v>320</v>
      </c>
      <c r="G34" s="979"/>
    </row>
    <row r="35" spans="1:7" ht="14.25">
      <c r="A35" s="1098"/>
      <c r="B35" s="980" t="s">
        <v>13</v>
      </c>
      <c r="C35" s="982">
        <v>7130620609</v>
      </c>
      <c r="D35" s="553" t="s">
        <v>907</v>
      </c>
      <c r="E35" s="275">
        <f>VLOOKUP(C35,'SOR RATE'!A:D,4,0)</f>
        <v>69.38</v>
      </c>
      <c r="F35" s="981">
        <v>50</v>
      </c>
      <c r="G35" s="979">
        <f aca="true" t="shared" si="1" ref="G35:G44">F35*E35</f>
        <v>3469</v>
      </c>
    </row>
    <row r="36" spans="1:7" ht="14.25">
      <c r="A36" s="1098"/>
      <c r="B36" s="980" t="s">
        <v>1226</v>
      </c>
      <c r="C36" s="779">
        <v>7130620614</v>
      </c>
      <c r="D36" s="553" t="s">
        <v>907</v>
      </c>
      <c r="E36" s="275">
        <f>VLOOKUP(C36,'SOR RATE'!A:D,4,0)</f>
        <v>68.22</v>
      </c>
      <c r="F36" s="981">
        <v>100</v>
      </c>
      <c r="G36" s="979">
        <f t="shared" si="1"/>
        <v>6822</v>
      </c>
    </row>
    <row r="37" spans="1:7" ht="14.25">
      <c r="A37" s="1098"/>
      <c r="B37" s="980" t="s">
        <v>1227</v>
      </c>
      <c r="C37" s="768">
        <v>7130620619</v>
      </c>
      <c r="D37" s="553" t="s">
        <v>907</v>
      </c>
      <c r="E37" s="275">
        <f>VLOOKUP(C37,'SOR RATE'!A:D,4,0)</f>
        <v>68.22</v>
      </c>
      <c r="F37" s="981">
        <v>20</v>
      </c>
      <c r="G37" s="979">
        <f t="shared" si="1"/>
        <v>1364.4</v>
      </c>
    </row>
    <row r="38" spans="1:7" ht="14.25">
      <c r="A38" s="1098"/>
      <c r="B38" s="980" t="s">
        <v>1228</v>
      </c>
      <c r="C38" s="768">
        <v>7130620625</v>
      </c>
      <c r="D38" s="553" t="s">
        <v>907</v>
      </c>
      <c r="E38" s="275">
        <f>VLOOKUP(C38,'SOR RATE'!A:D,4,0)</f>
        <v>67.06</v>
      </c>
      <c r="F38" s="981">
        <v>50</v>
      </c>
      <c r="G38" s="979">
        <f t="shared" si="1"/>
        <v>3353</v>
      </c>
    </row>
    <row r="39" spans="1:7" ht="14.25">
      <c r="A39" s="1098"/>
      <c r="B39" s="980" t="s">
        <v>1229</v>
      </c>
      <c r="C39" s="768">
        <v>7130620627</v>
      </c>
      <c r="D39" s="553" t="s">
        <v>907</v>
      </c>
      <c r="E39" s="275">
        <f>VLOOKUP(C39,'SOR RATE'!A:D,4,0)</f>
        <v>67.06</v>
      </c>
      <c r="F39" s="553">
        <v>50</v>
      </c>
      <c r="G39" s="780">
        <f t="shared" si="1"/>
        <v>3353</v>
      </c>
    </row>
    <row r="40" spans="1:7" ht="14.25">
      <c r="A40" s="1099"/>
      <c r="B40" s="980" t="s">
        <v>1532</v>
      </c>
      <c r="C40" s="768">
        <v>7130620631</v>
      </c>
      <c r="D40" s="553" t="s">
        <v>907</v>
      </c>
      <c r="E40" s="275">
        <f>VLOOKUP(C40,'SOR RATE'!A:D,4,0)</f>
        <v>67.06</v>
      </c>
      <c r="F40" s="553">
        <v>50</v>
      </c>
      <c r="G40" s="780">
        <f t="shared" si="1"/>
        <v>3353</v>
      </c>
    </row>
    <row r="41" spans="1:7" ht="30.75" customHeight="1">
      <c r="A41" s="1097">
        <v>23</v>
      </c>
      <c r="B41" s="756" t="s">
        <v>1766</v>
      </c>
      <c r="C41" s="964"/>
      <c r="D41" s="553"/>
      <c r="E41" s="275"/>
      <c r="F41" s="981">
        <f>10+40</f>
        <v>50</v>
      </c>
      <c r="G41" s="780"/>
    </row>
    <row r="42" spans="1:9" ht="15" customHeight="1">
      <c r="A42" s="1099"/>
      <c r="B42" s="502" t="s">
        <v>1773</v>
      </c>
      <c r="C42" s="964">
        <v>7130640008</v>
      </c>
      <c r="D42" s="911" t="s">
        <v>926</v>
      </c>
      <c r="E42" s="897">
        <f>VLOOKUP(C42,'SOR RATE'!A:D,4,0)</f>
        <v>158</v>
      </c>
      <c r="F42" s="898">
        <f>10+(40*2)</f>
        <v>90</v>
      </c>
      <c r="G42" s="780">
        <f>E42*F42</f>
        <v>14220</v>
      </c>
      <c r="H42" s="608" t="s">
        <v>1894</v>
      </c>
      <c r="I42" s="608" t="s">
        <v>1886</v>
      </c>
    </row>
    <row r="43" spans="1:9" ht="14.25">
      <c r="A43" s="785">
        <v>24</v>
      </c>
      <c r="B43" s="980" t="s">
        <v>1533</v>
      </c>
      <c r="C43" s="493">
        <v>7130860017</v>
      </c>
      <c r="D43" s="493" t="s">
        <v>19</v>
      </c>
      <c r="E43" s="275">
        <f>VLOOKUP(C43,'SOR RATE'!A:D,4,0)</f>
        <v>105.19</v>
      </c>
      <c r="F43" s="981">
        <v>77</v>
      </c>
      <c r="G43" s="979">
        <f t="shared" si="1"/>
        <v>8099.63</v>
      </c>
      <c r="I43" s="72"/>
    </row>
    <row r="44" spans="1:7" ht="18.75" customHeight="1">
      <c r="A44" s="784">
        <v>25</v>
      </c>
      <c r="B44" s="980" t="s">
        <v>1534</v>
      </c>
      <c r="C44" s="768">
        <v>7130830055</v>
      </c>
      <c r="D44" s="786" t="s">
        <v>980</v>
      </c>
      <c r="E44" s="275">
        <f>VLOOKUP(C44,'SOR RATE'!A:D,4,0)/1000</f>
        <v>20.60463</v>
      </c>
      <c r="F44" s="981">
        <v>1200</v>
      </c>
      <c r="G44" s="979">
        <f t="shared" si="1"/>
        <v>24725.556</v>
      </c>
    </row>
    <row r="45" spans="1:9" ht="15">
      <c r="A45" s="549">
        <v>26</v>
      </c>
      <c r="B45" s="277" t="s">
        <v>566</v>
      </c>
      <c r="C45" s="779"/>
      <c r="D45" s="989"/>
      <c r="E45" s="553"/>
      <c r="F45" s="783"/>
      <c r="G45" s="783">
        <f>SUM(G10:G44)</f>
        <v>1714637.3002</v>
      </c>
      <c r="H45" s="379"/>
      <c r="I45" s="430"/>
    </row>
    <row r="46" spans="1:9" ht="17.25" customHeight="1">
      <c r="A46" s="781">
        <v>27</v>
      </c>
      <c r="B46" s="61" t="s">
        <v>565</v>
      </c>
      <c r="C46" s="279"/>
      <c r="D46" s="851"/>
      <c r="E46" s="553">
        <v>0.09</v>
      </c>
      <c r="F46" s="553"/>
      <c r="G46" s="780">
        <f>G45*E46</f>
        <v>154317.35701799998</v>
      </c>
      <c r="H46" s="379"/>
      <c r="I46" s="430"/>
    </row>
    <row r="47" spans="1:9" ht="17.25" customHeight="1">
      <c r="A47" s="781">
        <v>28</v>
      </c>
      <c r="B47" s="274" t="s">
        <v>1409</v>
      </c>
      <c r="C47" s="62"/>
      <c r="D47" s="840" t="s">
        <v>19</v>
      </c>
      <c r="E47" s="571">
        <f>97*1.11*1.086275*1.1112*1.0685*1.06217*1.059*1.2778</f>
        <v>199.5970562453939</v>
      </c>
      <c r="F47" s="553">
        <v>10</v>
      </c>
      <c r="G47" s="780">
        <f>E47*F47</f>
        <v>1995.970562453939</v>
      </c>
      <c r="H47" s="378"/>
      <c r="I47" s="446"/>
    </row>
    <row r="48" spans="1:10" ht="17.25" customHeight="1">
      <c r="A48" s="553">
        <v>29</v>
      </c>
      <c r="B48" s="574" t="s">
        <v>1535</v>
      </c>
      <c r="C48" s="983"/>
      <c r="D48" s="780"/>
      <c r="E48" s="553"/>
      <c r="F48" s="553"/>
      <c r="G48" s="780">
        <v>205541.19</v>
      </c>
      <c r="H48" s="431"/>
      <c r="I48" s="54"/>
      <c r="J48" s="18"/>
    </row>
    <row r="49" spans="1:9" ht="17.25" customHeight="1">
      <c r="A49" s="553">
        <v>30</v>
      </c>
      <c r="B49" s="274" t="s">
        <v>80</v>
      </c>
      <c r="C49" s="983"/>
      <c r="D49" s="780"/>
      <c r="E49" s="553"/>
      <c r="F49" s="553"/>
      <c r="G49" s="275">
        <f>(10530.28*1.88%)+10530.28</f>
        <v>10728.249264</v>
      </c>
      <c r="H49" s="622"/>
      <c r="I49" s="295"/>
    </row>
    <row r="50" spans="1:8" ht="15.75" customHeight="1">
      <c r="A50" s="526">
        <v>31</v>
      </c>
      <c r="B50" s="277" t="s">
        <v>567</v>
      </c>
      <c r="C50" s="983"/>
      <c r="D50" s="780"/>
      <c r="E50" s="553"/>
      <c r="F50" s="553"/>
      <c r="G50" s="543">
        <f>G45+G46+G47+G48+G49</f>
        <v>2087220.0670444537</v>
      </c>
      <c r="H50" s="383"/>
    </row>
    <row r="51" spans="1:8" ht="33" customHeight="1">
      <c r="A51" s="553">
        <v>32</v>
      </c>
      <c r="B51" s="61" t="s">
        <v>1747</v>
      </c>
      <c r="C51" s="983"/>
      <c r="D51" s="780"/>
      <c r="E51" s="553">
        <v>0.125</v>
      </c>
      <c r="F51" s="553"/>
      <c r="G51" s="780">
        <f>G45*E51</f>
        <v>214329.662525</v>
      </c>
      <c r="H51" s="120"/>
    </row>
    <row r="52" spans="1:7" ht="17.25" customHeight="1">
      <c r="A52" s="553">
        <v>33</v>
      </c>
      <c r="B52" s="279" t="s">
        <v>1411</v>
      </c>
      <c r="C52" s="983"/>
      <c r="D52" s="780"/>
      <c r="E52" s="553"/>
      <c r="F52" s="780"/>
      <c r="G52" s="780">
        <f>G50+G51</f>
        <v>2301549.7295694537</v>
      </c>
    </row>
    <row r="53" spans="1:7" ht="18.75" customHeight="1">
      <c r="A53" s="549">
        <v>34</v>
      </c>
      <c r="B53" s="808" t="s">
        <v>1412</v>
      </c>
      <c r="C53" s="990"/>
      <c r="D53" s="783"/>
      <c r="E53" s="549"/>
      <c r="F53" s="553"/>
      <c r="G53" s="783">
        <f>ROUND(G52,0)</f>
        <v>2301550</v>
      </c>
    </row>
    <row r="54" spans="1:7" ht="12.75">
      <c r="A54" s="447"/>
      <c r="B54" s="304"/>
      <c r="C54" s="448"/>
      <c r="D54" s="304"/>
      <c r="E54" s="304"/>
      <c r="F54" s="304"/>
      <c r="G54" s="350"/>
    </row>
    <row r="55" spans="1:7" ht="20.25" customHeight="1">
      <c r="A55" s="449"/>
      <c r="B55" s="1089" t="s">
        <v>1536</v>
      </c>
      <c r="C55" s="1090"/>
      <c r="D55" s="1090"/>
      <c r="E55" s="1090"/>
      <c r="F55" s="1090"/>
      <c r="G55" s="1091"/>
    </row>
    <row r="56" spans="1:3" ht="14.25">
      <c r="A56" s="41" t="s">
        <v>982</v>
      </c>
      <c r="B56" s="481" t="s">
        <v>1750</v>
      </c>
      <c r="C56" s="41"/>
    </row>
    <row r="57" spans="1:2" ht="14.25">
      <c r="A57" s="41" t="s">
        <v>257</v>
      </c>
      <c r="B57" s="481" t="s">
        <v>1749</v>
      </c>
    </row>
    <row r="58" ht="12.75">
      <c r="B58" s="119"/>
    </row>
    <row r="59" ht="12.75">
      <c r="B59" s="119"/>
    </row>
    <row r="60" ht="12.75">
      <c r="B60" s="119"/>
    </row>
  </sheetData>
  <sheetProtection/>
  <mergeCells count="6">
    <mergeCell ref="B55:G55"/>
    <mergeCell ref="B1:C1"/>
    <mergeCell ref="A13:A15"/>
    <mergeCell ref="A34:A40"/>
    <mergeCell ref="A41:A42"/>
    <mergeCell ref="B3:F3"/>
  </mergeCells>
  <printOptions horizontalCentered="1"/>
  <pageMargins left="0.73" right="0.19" top="0.73" bottom="0.46" header="0.38" footer="0.32"/>
  <pageSetup horizontalDpi="600" verticalDpi="600" orientation="landscape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60"/>
  <sheetViews>
    <sheetView zoomScaleSheetLayoutView="7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I50" sqref="I50"/>
    </sheetView>
  </sheetViews>
  <sheetFormatPr defaultColWidth="9.140625" defaultRowHeight="12.75"/>
  <cols>
    <col min="1" max="1" width="4.8515625" style="540" customWidth="1"/>
    <col min="2" max="2" width="71.00390625" style="1" customWidth="1"/>
    <col min="3" max="3" width="13.421875" style="1" customWidth="1"/>
    <col min="4" max="4" width="6.28125" style="1" customWidth="1"/>
    <col min="5" max="5" width="10.00390625" style="1" customWidth="1"/>
    <col min="6" max="6" width="6.140625" style="1" customWidth="1"/>
    <col min="7" max="7" width="13.140625" style="1" bestFit="1" customWidth="1"/>
    <col min="8" max="8" width="21.00390625" style="1" customWidth="1"/>
    <col min="9" max="9" width="20.7109375" style="1" bestFit="1" customWidth="1"/>
    <col min="10" max="10" width="13.00390625" style="1" customWidth="1"/>
    <col min="11" max="16384" width="9.140625" style="1" customWidth="1"/>
  </cols>
  <sheetData>
    <row r="1" spans="2:7" ht="18" customHeight="1">
      <c r="B1" s="1080" t="s">
        <v>1537</v>
      </c>
      <c r="C1" s="1080"/>
      <c r="D1" s="91"/>
      <c r="E1" s="91"/>
      <c r="F1" s="91"/>
      <c r="G1" s="91"/>
    </row>
    <row r="2" spans="1:7" ht="9" customHeight="1">
      <c r="A2" s="92"/>
      <c r="B2" s="92"/>
      <c r="C2" s="92"/>
      <c r="D2" s="92"/>
      <c r="E2" s="92"/>
      <c r="F2" s="92"/>
      <c r="G2" s="92"/>
    </row>
    <row r="3" spans="1:7" ht="15.75">
      <c r="A3" s="1123" t="s">
        <v>1538</v>
      </c>
      <c r="B3" s="1123"/>
      <c r="C3" s="1123"/>
      <c r="D3" s="1123"/>
      <c r="E3" s="1123"/>
      <c r="F3" s="1123"/>
      <c r="G3" s="1123"/>
    </row>
    <row r="4" spans="1:7" ht="12.75" customHeight="1">
      <c r="A4" s="237"/>
      <c r="B4" s="237"/>
      <c r="C4" s="237"/>
      <c r="D4" s="237"/>
      <c r="E4" s="237"/>
      <c r="F4" s="237"/>
      <c r="G4" s="237"/>
    </row>
    <row r="5" spans="1:7" ht="15" customHeight="1">
      <c r="A5" s="106"/>
      <c r="B5" s="106"/>
      <c r="C5" s="106"/>
      <c r="D5" s="106"/>
      <c r="E5" s="106"/>
      <c r="F5" s="106"/>
      <c r="G5" s="555" t="s">
        <v>1823</v>
      </c>
    </row>
    <row r="6" spans="1:7" ht="9" customHeight="1">
      <c r="A6" s="106"/>
      <c r="B6" s="106"/>
      <c r="C6" s="106"/>
      <c r="D6" s="106"/>
      <c r="E6" s="106"/>
      <c r="F6" s="106"/>
      <c r="G6" s="451"/>
    </row>
    <row r="7" spans="1:7" ht="33" customHeight="1">
      <c r="A7" s="521" t="s">
        <v>1225</v>
      </c>
      <c r="B7" s="521" t="s">
        <v>16</v>
      </c>
      <c r="C7" s="452" t="s">
        <v>308</v>
      </c>
      <c r="D7" s="521" t="s">
        <v>17</v>
      </c>
      <c r="E7" s="521" t="s">
        <v>746</v>
      </c>
      <c r="F7" s="526" t="s">
        <v>18</v>
      </c>
      <c r="G7" s="526" t="s">
        <v>1176</v>
      </c>
    </row>
    <row r="8" spans="1:8" ht="15.75">
      <c r="A8" s="317" t="s">
        <v>910</v>
      </c>
      <c r="B8" s="317" t="s">
        <v>911</v>
      </c>
      <c r="C8" s="503" t="s">
        <v>912</v>
      </c>
      <c r="D8" s="503" t="s">
        <v>1368</v>
      </c>
      <c r="E8" s="503" t="s">
        <v>1369</v>
      </c>
      <c r="F8" s="503" t="s">
        <v>913</v>
      </c>
      <c r="G8" s="503" t="s">
        <v>1418</v>
      </c>
      <c r="H8" s="110"/>
    </row>
    <row r="9" spans="1:8" ht="15.75">
      <c r="A9" s="575">
        <v>1</v>
      </c>
      <c r="B9" s="720" t="s">
        <v>1751</v>
      </c>
      <c r="C9" s="973"/>
      <c r="D9" s="974"/>
      <c r="E9" s="974"/>
      <c r="F9" s="974"/>
      <c r="G9" s="975"/>
      <c r="H9" s="110"/>
    </row>
    <row r="10" spans="1:8" ht="17.25" customHeight="1">
      <c r="A10" s="554" t="s">
        <v>975</v>
      </c>
      <c r="B10" s="528" t="s">
        <v>1772</v>
      </c>
      <c r="C10" s="976">
        <v>7132210018</v>
      </c>
      <c r="D10" s="785" t="s">
        <v>749</v>
      </c>
      <c r="E10" s="762">
        <f>VLOOKUP(C10,'SOR RATE'!A:D,4,0)</f>
        <v>49457.85</v>
      </c>
      <c r="F10" s="977">
        <v>2</v>
      </c>
      <c r="G10" s="978">
        <f>E10*F10</f>
        <v>98915.7</v>
      </c>
      <c r="H10" s="579"/>
    </row>
    <row r="11" spans="1:8" ht="19.5" customHeight="1">
      <c r="A11" s="554" t="s">
        <v>4</v>
      </c>
      <c r="B11" s="274" t="s">
        <v>1771</v>
      </c>
      <c r="C11" s="836">
        <v>7132210017</v>
      </c>
      <c r="D11" s="554" t="s">
        <v>749</v>
      </c>
      <c r="E11" s="275">
        <f>VLOOKUP(C11,'SOR RATE'!A:D,4,0)</f>
        <v>44158.56</v>
      </c>
      <c r="F11" s="553">
        <v>3</v>
      </c>
      <c r="G11" s="979">
        <f aca="true" t="shared" si="0" ref="G11:G44">E11*F11</f>
        <v>132475.68</v>
      </c>
      <c r="H11" s="579"/>
    </row>
    <row r="12" spans="1:7" ht="14.25">
      <c r="A12" s="553">
        <v>2</v>
      </c>
      <c r="B12" s="980" t="s">
        <v>1539</v>
      </c>
      <c r="C12" s="754">
        <v>7130800012</v>
      </c>
      <c r="D12" s="553" t="s">
        <v>749</v>
      </c>
      <c r="E12" s="275">
        <f>VLOOKUP(C12,'SOR RATE'!A:D,4,0)</f>
        <v>2255.2</v>
      </c>
      <c r="F12" s="981">
        <v>8</v>
      </c>
      <c r="G12" s="979">
        <f t="shared" si="0"/>
        <v>18041.6</v>
      </c>
    </row>
    <row r="13" spans="1:7" ht="14.25">
      <c r="A13" s="1157">
        <v>3</v>
      </c>
      <c r="B13" s="274" t="s">
        <v>1367</v>
      </c>
      <c r="C13" s="982">
        <v>7130860032</v>
      </c>
      <c r="D13" s="554" t="s">
        <v>749</v>
      </c>
      <c r="E13" s="275">
        <f>VLOOKUP(C13,'SOR RATE'!A:D,4,0)</f>
        <v>441.23</v>
      </c>
      <c r="F13" s="981">
        <v>30</v>
      </c>
      <c r="G13" s="979">
        <f t="shared" si="0"/>
        <v>13236.900000000001</v>
      </c>
    </row>
    <row r="14" spans="1:7" ht="14.25">
      <c r="A14" s="1157"/>
      <c r="B14" s="279" t="s">
        <v>1540</v>
      </c>
      <c r="C14" s="982">
        <v>7130860077</v>
      </c>
      <c r="D14" s="553" t="s">
        <v>907</v>
      </c>
      <c r="E14" s="275">
        <f>VLOOKUP(C14,'SOR RATE'!A:D,4,0)/1000</f>
        <v>70.43964</v>
      </c>
      <c r="F14" s="981">
        <v>165</v>
      </c>
      <c r="G14" s="979">
        <f t="shared" si="0"/>
        <v>11622.5406</v>
      </c>
    </row>
    <row r="15" spans="1:7" ht="14.25">
      <c r="A15" s="1157"/>
      <c r="B15" s="279" t="s">
        <v>1517</v>
      </c>
      <c r="C15" s="983">
        <v>7130810026</v>
      </c>
      <c r="D15" s="902" t="s">
        <v>745</v>
      </c>
      <c r="E15" s="275">
        <f>VLOOKUP(C15,'SOR RATE'!A182:D182,4,0)</f>
        <v>155.99</v>
      </c>
      <c r="F15" s="981">
        <v>30</v>
      </c>
      <c r="G15" s="979">
        <f t="shared" si="0"/>
        <v>4679.700000000001</v>
      </c>
    </row>
    <row r="16" spans="1:9" ht="30" customHeight="1">
      <c r="A16" s="553">
        <v>4</v>
      </c>
      <c r="B16" s="985" t="s">
        <v>1541</v>
      </c>
      <c r="C16" s="986">
        <v>7130850201</v>
      </c>
      <c r="D16" s="781" t="s">
        <v>748</v>
      </c>
      <c r="E16" s="275">
        <f>VLOOKUP(C16,'SOR RATE'!A260:D260,4,0)</f>
        <v>4590.18</v>
      </c>
      <c r="F16" s="981">
        <v>7</v>
      </c>
      <c r="G16" s="979">
        <f t="shared" si="0"/>
        <v>32131.260000000002</v>
      </c>
      <c r="I16" s="26"/>
    </row>
    <row r="17" spans="1:7" ht="19.5" customHeight="1">
      <c r="A17" s="553">
        <v>5</v>
      </c>
      <c r="B17" s="985" t="s">
        <v>1542</v>
      </c>
      <c r="C17" s="986">
        <v>7130850201</v>
      </c>
      <c r="D17" s="781" t="s">
        <v>748</v>
      </c>
      <c r="E17" s="275">
        <f>VLOOKUP(C17,'SOR RATE'!A260:D260,4,0)</f>
        <v>4590.18</v>
      </c>
      <c r="F17" s="981">
        <v>7</v>
      </c>
      <c r="G17" s="979">
        <f t="shared" si="0"/>
        <v>32131.260000000002</v>
      </c>
    </row>
    <row r="18" spans="1:7" ht="14.25">
      <c r="A18" s="553">
        <v>6</v>
      </c>
      <c r="B18" s="985" t="s">
        <v>1543</v>
      </c>
      <c r="C18" s="767">
        <v>7130810509</v>
      </c>
      <c r="D18" s="493" t="s">
        <v>748</v>
      </c>
      <c r="E18" s="275">
        <f>VLOOKUP(C18,'SOR RATE'!A197:D197,4,0)</f>
        <v>1676.77</v>
      </c>
      <c r="F18" s="981">
        <v>11</v>
      </c>
      <c r="G18" s="979">
        <f t="shared" si="0"/>
        <v>18444.47</v>
      </c>
    </row>
    <row r="19" spans="1:7" ht="14.25">
      <c r="A19" s="553">
        <v>7</v>
      </c>
      <c r="B19" s="985" t="s">
        <v>1544</v>
      </c>
      <c r="C19" s="779">
        <v>7130810681</v>
      </c>
      <c r="D19" s="496" t="s">
        <v>748</v>
      </c>
      <c r="E19" s="275">
        <f>VLOOKUP(C19,'SOR RATE'!A:D,4,0)</f>
        <v>3257.64</v>
      </c>
      <c r="F19" s="981">
        <v>10</v>
      </c>
      <c r="G19" s="979">
        <f t="shared" si="0"/>
        <v>32576.399999999998</v>
      </c>
    </row>
    <row r="20" spans="1:7" ht="14.25">
      <c r="A20" s="553">
        <v>8</v>
      </c>
      <c r="B20" s="985" t="s">
        <v>1522</v>
      </c>
      <c r="C20" s="837">
        <v>7130820241</v>
      </c>
      <c r="D20" s="493" t="s">
        <v>19</v>
      </c>
      <c r="E20" s="275">
        <f>VLOOKUP(C20,'SOR RATE'!A:D,4,0)</f>
        <v>119.62</v>
      </c>
      <c r="F20" s="981">
        <v>48</v>
      </c>
      <c r="G20" s="979">
        <f t="shared" si="0"/>
        <v>5741.76</v>
      </c>
    </row>
    <row r="21" spans="1:7" ht="14.25">
      <c r="A21" s="553">
        <v>9</v>
      </c>
      <c r="B21" s="985" t="s">
        <v>1354</v>
      </c>
      <c r="C21" s="837">
        <v>7130820010</v>
      </c>
      <c r="D21" s="493" t="s">
        <v>19</v>
      </c>
      <c r="E21" s="275">
        <f>VLOOKUP(C21,'SOR RATE'!A213:D213,4,0)</f>
        <v>128.45</v>
      </c>
      <c r="F21" s="981">
        <v>48</v>
      </c>
      <c r="G21" s="979">
        <f t="shared" si="0"/>
        <v>6165.599999999999</v>
      </c>
    </row>
    <row r="22" spans="1:9" ht="14.25">
      <c r="A22" s="553">
        <v>10</v>
      </c>
      <c r="B22" s="985" t="s">
        <v>1523</v>
      </c>
      <c r="C22" s="837">
        <v>7130840029</v>
      </c>
      <c r="D22" s="493" t="s">
        <v>19</v>
      </c>
      <c r="E22" s="275">
        <f>VLOOKUP(C22,'SOR RATE'!A:D,4,0)</f>
        <v>504.66</v>
      </c>
      <c r="F22" s="981">
        <v>21</v>
      </c>
      <c r="G22" s="979">
        <f t="shared" si="0"/>
        <v>10597.86</v>
      </c>
      <c r="I22" s="79"/>
    </row>
    <row r="23" spans="1:7" ht="14.25">
      <c r="A23" s="553">
        <v>11</v>
      </c>
      <c r="B23" s="985" t="s">
        <v>1545</v>
      </c>
      <c r="C23" s="837">
        <v>7131930412</v>
      </c>
      <c r="D23" s="493" t="s">
        <v>19</v>
      </c>
      <c r="E23" s="275">
        <f>VLOOKUP(C23,'SOR RATE'!A:D,4,0)</f>
        <v>1177.88</v>
      </c>
      <c r="F23" s="981">
        <v>21</v>
      </c>
      <c r="G23" s="979">
        <f t="shared" si="0"/>
        <v>24735.480000000003</v>
      </c>
    </row>
    <row r="24" spans="1:7" s="16" customFormat="1" ht="30" customHeight="1">
      <c r="A24" s="553">
        <v>12</v>
      </c>
      <c r="B24" s="985" t="s">
        <v>1546</v>
      </c>
      <c r="C24" s="987"/>
      <c r="D24" s="780" t="s">
        <v>19</v>
      </c>
      <c r="E24" s="780">
        <f>'D-7'!E24</f>
        <v>16000</v>
      </c>
      <c r="F24" s="981">
        <v>3</v>
      </c>
      <c r="G24" s="979">
        <f t="shared" si="0"/>
        <v>48000</v>
      </c>
    </row>
    <row r="25" spans="1:7" s="16" customFormat="1" ht="30" customHeight="1">
      <c r="A25" s="553">
        <v>13</v>
      </c>
      <c r="B25" s="985" t="s">
        <v>1547</v>
      </c>
      <c r="C25" s="987"/>
      <c r="D25" s="780" t="s">
        <v>19</v>
      </c>
      <c r="E25" s="780">
        <f>'D-7'!E25</f>
        <v>13000</v>
      </c>
      <c r="F25" s="981">
        <v>4</v>
      </c>
      <c r="G25" s="979">
        <f t="shared" si="0"/>
        <v>52000</v>
      </c>
    </row>
    <row r="26" spans="1:13" s="16" customFormat="1" ht="15.75" customHeight="1">
      <c r="A26" s="553">
        <v>14</v>
      </c>
      <c r="B26" s="985" t="s">
        <v>1527</v>
      </c>
      <c r="C26" s="982">
        <v>7130310021</v>
      </c>
      <c r="D26" s="493" t="s">
        <v>980</v>
      </c>
      <c r="E26" s="275">
        <f>VLOOKUP(C26,'SOR RATE'!A:D,4,0)/1000</f>
        <v>28.15659</v>
      </c>
      <c r="F26" s="981">
        <v>140</v>
      </c>
      <c r="G26" s="979">
        <f t="shared" si="0"/>
        <v>3941.9226000000003</v>
      </c>
      <c r="I26" s="453"/>
      <c r="J26" s="305"/>
      <c r="K26" s="305"/>
      <c r="L26" s="305"/>
      <c r="M26" s="305"/>
    </row>
    <row r="27" spans="1:13" s="16" customFormat="1" ht="15.75" customHeight="1">
      <c r="A27" s="553">
        <v>15</v>
      </c>
      <c r="B27" s="985" t="s">
        <v>1528</v>
      </c>
      <c r="C27" s="837">
        <v>7130310044</v>
      </c>
      <c r="D27" s="493" t="s">
        <v>980</v>
      </c>
      <c r="E27" s="275">
        <f>VLOOKUP(C27,'SOR RATE'!A:D,4,0)/1000</f>
        <v>55.8925</v>
      </c>
      <c r="F27" s="981">
        <v>1820</v>
      </c>
      <c r="G27" s="979">
        <f t="shared" si="0"/>
        <v>101724.34999999999</v>
      </c>
      <c r="I27" s="79"/>
      <c r="J27" s="79"/>
      <c r="K27" s="79"/>
      <c r="L27" s="79"/>
      <c r="M27" s="79"/>
    </row>
    <row r="28" spans="1:7" s="16" customFormat="1" ht="14.25">
      <c r="A28" s="553">
        <v>16</v>
      </c>
      <c r="B28" s="985" t="s">
        <v>1548</v>
      </c>
      <c r="C28" s="837">
        <v>7130641396</v>
      </c>
      <c r="D28" s="493" t="s">
        <v>980</v>
      </c>
      <c r="E28" s="275">
        <f>VLOOKUP(C28,'SOR RATE'!A:D,4,0)</f>
        <v>215.22</v>
      </c>
      <c r="F28" s="981">
        <v>63</v>
      </c>
      <c r="G28" s="979">
        <f t="shared" si="0"/>
        <v>13558.86</v>
      </c>
    </row>
    <row r="29" spans="1:7" ht="14.25">
      <c r="A29" s="553">
        <v>17</v>
      </c>
      <c r="B29" s="279" t="s">
        <v>1361</v>
      </c>
      <c r="C29" s="837">
        <v>7130870043</v>
      </c>
      <c r="D29" s="493" t="s">
        <v>907</v>
      </c>
      <c r="E29" s="275">
        <f>VLOOKUP(C29,'SOR RATE'!A:D,4,0)/1000</f>
        <v>62.99996</v>
      </c>
      <c r="F29" s="981">
        <v>180</v>
      </c>
      <c r="G29" s="979">
        <f t="shared" si="0"/>
        <v>11339.9928</v>
      </c>
    </row>
    <row r="30" spans="1:7" ht="14.25">
      <c r="A30" s="553">
        <v>18</v>
      </c>
      <c r="B30" s="279" t="s">
        <v>1374</v>
      </c>
      <c r="C30" s="768">
        <v>7130810495</v>
      </c>
      <c r="D30" s="493" t="s">
        <v>19</v>
      </c>
      <c r="E30" s="275">
        <f>VLOOKUP(C30,'SOR RATE'!A:D,4,0)</f>
        <v>1057.95</v>
      </c>
      <c r="F30" s="981">
        <v>45</v>
      </c>
      <c r="G30" s="979">
        <f t="shared" si="0"/>
        <v>47607.75</v>
      </c>
    </row>
    <row r="31" spans="1:7" ht="14.25">
      <c r="A31" s="553">
        <v>19</v>
      </c>
      <c r="B31" s="279" t="s">
        <v>1375</v>
      </c>
      <c r="C31" s="768">
        <v>7130810679</v>
      </c>
      <c r="D31" s="493" t="s">
        <v>19</v>
      </c>
      <c r="E31" s="275">
        <f>VLOOKUP(C31,'SOR RATE'!A:D,4,0)</f>
        <v>296.79</v>
      </c>
      <c r="F31" s="981">
        <v>45</v>
      </c>
      <c r="G31" s="979">
        <f t="shared" si="0"/>
        <v>13355.550000000001</v>
      </c>
    </row>
    <row r="32" spans="1:10" ht="14.25" customHeight="1">
      <c r="A32" s="553">
        <v>20</v>
      </c>
      <c r="B32" s="279" t="s">
        <v>722</v>
      </c>
      <c r="C32" s="768">
        <v>7130820008</v>
      </c>
      <c r="D32" s="493" t="s">
        <v>19</v>
      </c>
      <c r="E32" s="275">
        <f>VLOOKUP(C32,'SOR RATE'!A:D,4,0)</f>
        <v>142.14</v>
      </c>
      <c r="F32" s="981">
        <v>135</v>
      </c>
      <c r="G32" s="979">
        <f t="shared" si="0"/>
        <v>19188.899999999998</v>
      </c>
      <c r="I32" s="79"/>
      <c r="J32" s="79"/>
    </row>
    <row r="33" spans="1:7" ht="18" customHeight="1">
      <c r="A33" s="553">
        <v>21</v>
      </c>
      <c r="B33" s="274" t="s">
        <v>1407</v>
      </c>
      <c r="C33" s="779">
        <v>7130870013</v>
      </c>
      <c r="D33" s="553" t="s">
        <v>19</v>
      </c>
      <c r="E33" s="275">
        <f>VLOOKUP(C33,'SOR RATE'!A:D,4,0)</f>
        <v>114.85</v>
      </c>
      <c r="F33" s="981">
        <v>45</v>
      </c>
      <c r="G33" s="979">
        <f t="shared" si="0"/>
        <v>5168.25</v>
      </c>
    </row>
    <row r="34" spans="1:7" ht="14.25">
      <c r="A34" s="1157">
        <v>22</v>
      </c>
      <c r="B34" s="752" t="s">
        <v>908</v>
      </c>
      <c r="C34" s="121"/>
      <c r="D34" s="785" t="s">
        <v>907</v>
      </c>
      <c r="E34" s="991"/>
      <c r="F34" s="977">
        <v>250</v>
      </c>
      <c r="G34" s="979"/>
    </row>
    <row r="35" spans="1:7" ht="14.25">
      <c r="A35" s="1157"/>
      <c r="B35" s="807" t="s">
        <v>13</v>
      </c>
      <c r="C35" s="982">
        <v>7130620609</v>
      </c>
      <c r="D35" s="553" t="s">
        <v>907</v>
      </c>
      <c r="E35" s="275">
        <f>VLOOKUP(C35,'SOR RATE'!A:D,4,0)</f>
        <v>69.38</v>
      </c>
      <c r="F35" s="981">
        <v>40</v>
      </c>
      <c r="G35" s="979">
        <f t="shared" si="0"/>
        <v>2775.2</v>
      </c>
    </row>
    <row r="36" spans="1:7" ht="14.25">
      <c r="A36" s="1157"/>
      <c r="B36" s="807" t="s">
        <v>1226</v>
      </c>
      <c r="C36" s="779">
        <v>7130620614</v>
      </c>
      <c r="D36" s="553" t="s">
        <v>907</v>
      </c>
      <c r="E36" s="275">
        <f>VLOOKUP(C36,'SOR RATE'!A:D,4,0)</f>
        <v>68.22</v>
      </c>
      <c r="F36" s="981">
        <v>80</v>
      </c>
      <c r="G36" s="979">
        <f t="shared" si="0"/>
        <v>5457.6</v>
      </c>
    </row>
    <row r="37" spans="1:7" ht="14.25">
      <c r="A37" s="1157"/>
      <c r="B37" s="807" t="s">
        <v>1227</v>
      </c>
      <c r="C37" s="768">
        <v>7130620619</v>
      </c>
      <c r="D37" s="553" t="s">
        <v>907</v>
      </c>
      <c r="E37" s="275">
        <f>VLOOKUP(C37,'SOR RATE'!A:D,4,0)</f>
        <v>68.22</v>
      </c>
      <c r="F37" s="981">
        <v>10</v>
      </c>
      <c r="G37" s="979">
        <f t="shared" si="0"/>
        <v>682.2</v>
      </c>
    </row>
    <row r="38" spans="1:7" ht="14.25">
      <c r="A38" s="1157"/>
      <c r="B38" s="807" t="s">
        <v>1228</v>
      </c>
      <c r="C38" s="754">
        <v>7130620625</v>
      </c>
      <c r="D38" s="553" t="s">
        <v>907</v>
      </c>
      <c r="E38" s="275">
        <f>VLOOKUP(C38,'SOR RATE'!A:D,4,0)</f>
        <v>67.06</v>
      </c>
      <c r="F38" s="981">
        <v>40</v>
      </c>
      <c r="G38" s="979">
        <f t="shared" si="0"/>
        <v>2682.4</v>
      </c>
    </row>
    <row r="39" spans="1:7" ht="14.25">
      <c r="A39" s="1157"/>
      <c r="B39" s="807" t="s">
        <v>1229</v>
      </c>
      <c r="C39" s="768">
        <v>7130620627</v>
      </c>
      <c r="D39" s="553" t="s">
        <v>907</v>
      </c>
      <c r="E39" s="275">
        <f>VLOOKUP(C39,'SOR RATE'!A:D,4,0)</f>
        <v>67.06</v>
      </c>
      <c r="F39" s="981">
        <v>40</v>
      </c>
      <c r="G39" s="979">
        <f t="shared" si="0"/>
        <v>2682.4</v>
      </c>
    </row>
    <row r="40" spans="1:7" ht="14.25">
      <c r="A40" s="1157"/>
      <c r="B40" s="807" t="s">
        <v>1532</v>
      </c>
      <c r="C40" s="768">
        <v>7130620631</v>
      </c>
      <c r="D40" s="553" t="s">
        <v>907</v>
      </c>
      <c r="E40" s="275">
        <f>VLOOKUP(C40,'SOR RATE'!A:D,4,0)</f>
        <v>67.06</v>
      </c>
      <c r="F40" s="981">
        <v>40</v>
      </c>
      <c r="G40" s="979">
        <f t="shared" si="0"/>
        <v>2682.4</v>
      </c>
    </row>
    <row r="41" spans="1:7" ht="30.75" customHeight="1">
      <c r="A41" s="1157">
        <v>23</v>
      </c>
      <c r="B41" s="756" t="s">
        <v>1766</v>
      </c>
      <c r="C41" s="779"/>
      <c r="D41" s="553"/>
      <c r="E41" s="780"/>
      <c r="F41" s="981">
        <f>8+30</f>
        <v>38</v>
      </c>
      <c r="G41" s="979"/>
    </row>
    <row r="42" spans="1:9" ht="16.5" customHeight="1">
      <c r="A42" s="1157"/>
      <c r="B42" s="502" t="s">
        <v>1773</v>
      </c>
      <c r="C42" s="779">
        <v>7130640008</v>
      </c>
      <c r="D42" s="911" t="s">
        <v>926</v>
      </c>
      <c r="E42" s="897">
        <f>VLOOKUP(C42,'SOR RATE'!A:D,4,0)</f>
        <v>158</v>
      </c>
      <c r="F42" s="898">
        <f>8+(30*2)</f>
        <v>68</v>
      </c>
      <c r="G42" s="979">
        <f>E42*F42</f>
        <v>10744</v>
      </c>
      <c r="H42" s="608" t="s">
        <v>1894</v>
      </c>
      <c r="I42" s="608" t="s">
        <v>1886</v>
      </c>
    </row>
    <row r="43" spans="1:7" ht="14.25">
      <c r="A43" s="553">
        <v>24</v>
      </c>
      <c r="B43" s="279" t="s">
        <v>1549</v>
      </c>
      <c r="C43" s="493">
        <v>7130860017</v>
      </c>
      <c r="D43" s="553" t="s">
        <v>19</v>
      </c>
      <c r="E43" s="275">
        <f>VLOOKUP(C43,'SOR RATE'!A:D,4,0)</f>
        <v>105.19</v>
      </c>
      <c r="F43" s="981">
        <v>21</v>
      </c>
      <c r="G43" s="979">
        <f t="shared" si="0"/>
        <v>2208.99</v>
      </c>
    </row>
    <row r="44" spans="1:7" ht="14.25">
      <c r="A44" s="554">
        <v>25</v>
      </c>
      <c r="B44" s="279" t="s">
        <v>1534</v>
      </c>
      <c r="C44" s="768">
        <v>7130830055</v>
      </c>
      <c r="D44" s="493" t="s">
        <v>980</v>
      </c>
      <c r="E44" s="275">
        <f>VLOOKUP(C44,'SOR RATE'!A:D,4,0)/1000</f>
        <v>20.60463</v>
      </c>
      <c r="F44" s="981">
        <v>900</v>
      </c>
      <c r="G44" s="979">
        <f t="shared" si="0"/>
        <v>18544.167</v>
      </c>
    </row>
    <row r="45" spans="1:9" ht="15">
      <c r="A45" s="526">
        <v>26</v>
      </c>
      <c r="B45" s="277" t="s">
        <v>566</v>
      </c>
      <c r="C45" s="992"/>
      <c r="D45" s="553"/>
      <c r="E45" s="553"/>
      <c r="F45" s="543"/>
      <c r="G45" s="543">
        <f>SUM(G10:G44)</f>
        <v>805841.143</v>
      </c>
      <c r="H45" s="379"/>
      <c r="I45" s="430"/>
    </row>
    <row r="46" spans="1:9" ht="14.25">
      <c r="A46" s="554">
        <v>27</v>
      </c>
      <c r="B46" s="61" t="s">
        <v>565</v>
      </c>
      <c r="C46" s="942"/>
      <c r="D46" s="943"/>
      <c r="E46" s="62">
        <v>0.09</v>
      </c>
      <c r="F46" s="943"/>
      <c r="G46" s="571">
        <f>G45*E46</f>
        <v>72525.70287</v>
      </c>
      <c r="H46" s="379"/>
      <c r="I46" s="430"/>
    </row>
    <row r="47" spans="1:9" ht="16.5" customHeight="1">
      <c r="A47" s="554">
        <v>28</v>
      </c>
      <c r="B47" s="274" t="s">
        <v>1409</v>
      </c>
      <c r="C47" s="62"/>
      <c r="D47" s="840" t="s">
        <v>19</v>
      </c>
      <c r="E47" s="571">
        <f>97*1.11*1.086275*1.1112*1.0685*1.06217*1.059*1.2778</f>
        <v>199.5970562453939</v>
      </c>
      <c r="F47" s="62">
        <v>8</v>
      </c>
      <c r="G47" s="571">
        <f>E47*F47</f>
        <v>1596.7764499631512</v>
      </c>
      <c r="H47" s="378"/>
      <c r="I47" s="446"/>
    </row>
    <row r="48" spans="1:10" ht="14.25" customHeight="1">
      <c r="A48" s="553">
        <v>29</v>
      </c>
      <c r="B48" s="574" t="s">
        <v>1550</v>
      </c>
      <c r="C48" s="983"/>
      <c r="D48" s="780"/>
      <c r="E48" s="553"/>
      <c r="F48" s="553"/>
      <c r="G48" s="780">
        <v>150841.09</v>
      </c>
      <c r="H48" s="431"/>
      <c r="I48" s="54"/>
      <c r="J48" s="80"/>
    </row>
    <row r="49" spans="1:10" ht="16.5" customHeight="1">
      <c r="A49" s="553">
        <v>30</v>
      </c>
      <c r="B49" s="860" t="s">
        <v>80</v>
      </c>
      <c r="C49" s="983"/>
      <c r="D49" s="780"/>
      <c r="E49" s="553"/>
      <c r="F49" s="553"/>
      <c r="G49" s="275">
        <f>(8424.22*1.88%)+8424.22</f>
        <v>8582.595335999998</v>
      </c>
      <c r="H49" s="622"/>
      <c r="I49" s="295"/>
      <c r="J49" s="50"/>
    </row>
    <row r="50" spans="1:10" ht="15">
      <c r="A50" s="526">
        <v>31</v>
      </c>
      <c r="B50" s="277" t="s">
        <v>567</v>
      </c>
      <c r="C50" s="983"/>
      <c r="D50" s="780"/>
      <c r="E50" s="553"/>
      <c r="F50" s="553"/>
      <c r="G50" s="543">
        <f>G45+G46+G47+G48+G49</f>
        <v>1039387.3076559631</v>
      </c>
      <c r="H50" s="383"/>
      <c r="J50" s="50"/>
    </row>
    <row r="51" spans="1:10" ht="32.25" customHeight="1">
      <c r="A51" s="553">
        <v>32</v>
      </c>
      <c r="B51" s="61" t="s">
        <v>1747</v>
      </c>
      <c r="C51" s="983"/>
      <c r="D51" s="780"/>
      <c r="E51" s="553">
        <v>0.125</v>
      </c>
      <c r="F51" s="553"/>
      <c r="G51" s="780">
        <f>G45*E51</f>
        <v>100730.142875</v>
      </c>
      <c r="H51" s="120"/>
      <c r="J51" s="50"/>
    </row>
    <row r="52" spans="1:7" ht="16.5" customHeight="1">
      <c r="A52" s="554">
        <v>33</v>
      </c>
      <c r="B52" s="279" t="s">
        <v>1411</v>
      </c>
      <c r="C52" s="983"/>
      <c r="D52" s="780"/>
      <c r="E52" s="553"/>
      <c r="F52" s="780"/>
      <c r="G52" s="780">
        <f>G50+G51</f>
        <v>1140117.450530963</v>
      </c>
    </row>
    <row r="53" spans="1:7" ht="16.5" customHeight="1">
      <c r="A53" s="526">
        <v>34</v>
      </c>
      <c r="B53" s="808" t="s">
        <v>1412</v>
      </c>
      <c r="C53" s="990"/>
      <c r="D53" s="783"/>
      <c r="E53" s="549"/>
      <c r="F53" s="553"/>
      <c r="G53" s="543">
        <f>ROUND(G52,0)</f>
        <v>1140117</v>
      </c>
    </row>
    <row r="54" spans="1:7" ht="12.75">
      <c r="A54" s="447"/>
      <c r="B54" s="304"/>
      <c r="C54" s="448"/>
      <c r="D54" s="304"/>
      <c r="E54" s="304"/>
      <c r="F54" s="304"/>
      <c r="G54" s="350"/>
    </row>
    <row r="55" spans="1:7" ht="16.5" customHeight="1">
      <c r="A55" s="449"/>
      <c r="B55" s="1156" t="s">
        <v>1536</v>
      </c>
      <c r="C55" s="1156"/>
      <c r="D55" s="1156"/>
      <c r="E55" s="1156"/>
      <c r="F55" s="1156"/>
      <c r="G55" s="1156"/>
    </row>
    <row r="56" spans="1:2" ht="14.25">
      <c r="A56" s="41" t="s">
        <v>982</v>
      </c>
      <c r="B56" s="481" t="s">
        <v>1750</v>
      </c>
    </row>
    <row r="57" spans="1:2" ht="14.25">
      <c r="A57" s="41" t="s">
        <v>257</v>
      </c>
      <c r="B57" s="481" t="s">
        <v>1749</v>
      </c>
    </row>
    <row r="58" ht="12.75">
      <c r="B58" s="119"/>
    </row>
    <row r="59" ht="12.75">
      <c r="B59" s="119"/>
    </row>
    <row r="60" ht="12.75">
      <c r="B60" s="119"/>
    </row>
  </sheetData>
  <sheetProtection/>
  <mergeCells count="6">
    <mergeCell ref="B55:G55"/>
    <mergeCell ref="B1:C1"/>
    <mergeCell ref="A3:G3"/>
    <mergeCell ref="A13:A15"/>
    <mergeCell ref="A34:A40"/>
    <mergeCell ref="A41:A42"/>
  </mergeCells>
  <printOptions horizontalCentered="1"/>
  <pageMargins left="0.75" right="0.16" top="0.77" bottom="0.41" header="1.16" footer="0.16"/>
  <pageSetup horizontalDpi="600" verticalDpi="600" orientation="landscape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61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H57" sqref="H57"/>
    </sheetView>
  </sheetViews>
  <sheetFormatPr defaultColWidth="9.140625" defaultRowHeight="12.75"/>
  <cols>
    <col min="1" max="1" width="5.00390625" style="126" customWidth="1"/>
    <col min="2" max="2" width="69.140625" style="50" customWidth="1"/>
    <col min="3" max="3" width="12.421875" style="50" bestFit="1" customWidth="1"/>
    <col min="4" max="4" width="6.28125" style="50" customWidth="1"/>
    <col min="5" max="5" width="10.421875" style="50" customWidth="1"/>
    <col min="6" max="6" width="6.140625" style="50" bestFit="1" customWidth="1"/>
    <col min="7" max="7" width="11.8515625" style="50" bestFit="1" customWidth="1"/>
    <col min="8" max="8" width="20.8515625" style="50" customWidth="1"/>
    <col min="9" max="9" width="20.421875" style="50" customWidth="1"/>
    <col min="10" max="10" width="12.421875" style="50" bestFit="1" customWidth="1"/>
    <col min="11" max="11" width="3.57421875" style="50" bestFit="1" customWidth="1"/>
    <col min="12" max="16384" width="9.140625" style="50" customWidth="1"/>
  </cols>
  <sheetData>
    <row r="1" spans="1:7" ht="18">
      <c r="A1" s="1060" t="s">
        <v>1551</v>
      </c>
      <c r="B1" s="1060"/>
      <c r="C1" s="1060"/>
      <c r="D1" s="1060"/>
      <c r="E1" s="1060"/>
      <c r="F1" s="1060"/>
      <c r="G1" s="1060"/>
    </row>
    <row r="2" spans="1:7" ht="8.25" customHeight="1">
      <c r="A2" s="550"/>
      <c r="B2" s="550"/>
      <c r="C2" s="550"/>
      <c r="D2" s="550"/>
      <c r="E2" s="550"/>
      <c r="F2" s="550"/>
      <c r="G2" s="550"/>
    </row>
    <row r="3" spans="1:7" ht="15">
      <c r="A3" s="1159" t="s">
        <v>1552</v>
      </c>
      <c r="B3" s="1159"/>
      <c r="C3" s="1159"/>
      <c r="D3" s="1159"/>
      <c r="E3" s="1159"/>
      <c r="F3" s="1159"/>
      <c r="G3" s="1159"/>
    </row>
    <row r="4" spans="1:7" ht="11.25" customHeight="1">
      <c r="A4" s="266"/>
      <c r="B4" s="40"/>
      <c r="C4" s="40"/>
      <c r="D4" s="40"/>
      <c r="E4" s="40"/>
      <c r="F4" s="40"/>
      <c r="G4" s="40"/>
    </row>
    <row r="5" spans="1:7" ht="15">
      <c r="A5" s="266"/>
      <c r="B5" s="266"/>
      <c r="C5" s="266"/>
      <c r="D5" s="266"/>
      <c r="E5" s="266"/>
      <c r="F5" s="266"/>
      <c r="G5" s="555" t="s">
        <v>1823</v>
      </c>
    </row>
    <row r="6" spans="1:8" ht="6.75" customHeight="1">
      <c r="A6" s="266"/>
      <c r="B6" s="266"/>
      <c r="C6" s="266"/>
      <c r="D6" s="266"/>
      <c r="E6" s="266"/>
      <c r="F6" s="266"/>
      <c r="G6" s="266"/>
      <c r="H6" s="59"/>
    </row>
    <row r="7" spans="1:7" ht="30">
      <c r="A7" s="521" t="s">
        <v>1225</v>
      </c>
      <c r="B7" s="521" t="s">
        <v>16</v>
      </c>
      <c r="C7" s="452" t="s">
        <v>308</v>
      </c>
      <c r="D7" s="526" t="s">
        <v>17</v>
      </c>
      <c r="E7" s="526" t="s">
        <v>746</v>
      </c>
      <c r="F7" s="526" t="s">
        <v>18</v>
      </c>
      <c r="G7" s="526" t="s">
        <v>1176</v>
      </c>
    </row>
    <row r="8" spans="1:8" ht="15">
      <c r="A8" s="317" t="s">
        <v>910</v>
      </c>
      <c r="B8" s="317" t="s">
        <v>911</v>
      </c>
      <c r="C8" s="317" t="s">
        <v>912</v>
      </c>
      <c r="D8" s="503" t="s">
        <v>1368</v>
      </c>
      <c r="E8" s="503" t="s">
        <v>1369</v>
      </c>
      <c r="F8" s="503" t="s">
        <v>913</v>
      </c>
      <c r="G8" s="503" t="s">
        <v>1418</v>
      </c>
      <c r="H8" s="454"/>
    </row>
    <row r="9" spans="1:8" ht="15">
      <c r="A9" s="575">
        <v>1</v>
      </c>
      <c r="B9" s="720" t="s">
        <v>1751</v>
      </c>
      <c r="C9" s="973"/>
      <c r="D9" s="973"/>
      <c r="E9" s="974"/>
      <c r="F9" s="974"/>
      <c r="G9" s="975"/>
      <c r="H9" s="454"/>
    </row>
    <row r="10" spans="1:8" ht="15.75" customHeight="1">
      <c r="A10" s="554" t="s">
        <v>975</v>
      </c>
      <c r="B10" s="528" t="s">
        <v>1772</v>
      </c>
      <c r="C10" s="976">
        <v>7132210018</v>
      </c>
      <c r="D10" s="785" t="s">
        <v>19</v>
      </c>
      <c r="E10" s="762">
        <f>VLOOKUP(C10,'SOR RATE'!A:D,4,0)</f>
        <v>49457.85</v>
      </c>
      <c r="F10" s="977">
        <v>1</v>
      </c>
      <c r="G10" s="978">
        <f>E10*F10</f>
        <v>49457.85</v>
      </c>
      <c r="H10" s="579"/>
    </row>
    <row r="11" spans="1:8" ht="17.25" customHeight="1">
      <c r="A11" s="554" t="s">
        <v>4</v>
      </c>
      <c r="B11" s="274" t="s">
        <v>1771</v>
      </c>
      <c r="C11" s="836">
        <v>7132210017</v>
      </c>
      <c r="D11" s="553" t="s">
        <v>19</v>
      </c>
      <c r="E11" s="275">
        <f>VLOOKUP(C11,'SOR RATE'!A:D,4,0)</f>
        <v>44158.56</v>
      </c>
      <c r="F11" s="553">
        <v>2</v>
      </c>
      <c r="G11" s="979">
        <f aca="true" t="shared" si="0" ref="G11:G44">E11*F11</f>
        <v>88317.12</v>
      </c>
      <c r="H11" s="579"/>
    </row>
    <row r="12" spans="1:7" ht="15" customHeight="1">
      <c r="A12" s="553">
        <v>2</v>
      </c>
      <c r="B12" s="980" t="s">
        <v>1514</v>
      </c>
      <c r="C12" s="754">
        <v>7130800012</v>
      </c>
      <c r="D12" s="862" t="s">
        <v>19</v>
      </c>
      <c r="E12" s="275">
        <f>VLOOKUP(C12,'SOR RATE'!A:D,4,0)</f>
        <v>2255.2</v>
      </c>
      <c r="F12" s="981">
        <v>6</v>
      </c>
      <c r="G12" s="979">
        <f t="shared" si="0"/>
        <v>13531.199999999999</v>
      </c>
    </row>
    <row r="13" spans="1:7" ht="15.75" customHeight="1">
      <c r="A13" s="1097">
        <v>3</v>
      </c>
      <c r="B13" s="274" t="s">
        <v>1472</v>
      </c>
      <c r="C13" s="982">
        <v>7130860032</v>
      </c>
      <c r="D13" s="553" t="s">
        <v>19</v>
      </c>
      <c r="E13" s="275">
        <f>VLOOKUP(C13,'SOR RATE'!A:D,4,0)</f>
        <v>441.23</v>
      </c>
      <c r="F13" s="981">
        <v>25</v>
      </c>
      <c r="G13" s="979">
        <f t="shared" si="0"/>
        <v>11030.75</v>
      </c>
    </row>
    <row r="14" spans="1:7" ht="17.25" customHeight="1">
      <c r="A14" s="1098"/>
      <c r="B14" s="279" t="s">
        <v>1553</v>
      </c>
      <c r="C14" s="982">
        <v>7130860077</v>
      </c>
      <c r="D14" s="553" t="s">
        <v>907</v>
      </c>
      <c r="E14" s="275">
        <f>VLOOKUP(C14,'SOR RATE'!A:D,4,0)/1000</f>
        <v>70.43964</v>
      </c>
      <c r="F14" s="981">
        <v>137.5</v>
      </c>
      <c r="G14" s="979">
        <f t="shared" si="0"/>
        <v>9685.450499999999</v>
      </c>
    </row>
    <row r="15" spans="1:9" ht="16.5" customHeight="1">
      <c r="A15" s="1099"/>
      <c r="B15" s="279" t="s">
        <v>1554</v>
      </c>
      <c r="C15" s="983">
        <v>7130810026</v>
      </c>
      <c r="D15" s="902" t="s">
        <v>745</v>
      </c>
      <c r="E15" s="275">
        <f>VLOOKUP(C15,'SOR RATE'!A182:D182,4,0)</f>
        <v>155.99</v>
      </c>
      <c r="F15" s="981">
        <v>25</v>
      </c>
      <c r="G15" s="979">
        <f t="shared" si="0"/>
        <v>3899.75</v>
      </c>
      <c r="I15" s="283"/>
    </row>
    <row r="16" spans="1:9" ht="30" customHeight="1">
      <c r="A16" s="984">
        <v>4</v>
      </c>
      <c r="B16" s="985" t="s">
        <v>1555</v>
      </c>
      <c r="C16" s="986">
        <v>7130850201</v>
      </c>
      <c r="D16" s="781" t="s">
        <v>748</v>
      </c>
      <c r="E16" s="275">
        <f>VLOOKUP(C16,'SOR RATE'!A260:D260,4,0)</f>
        <v>4590.18</v>
      </c>
      <c r="F16" s="981">
        <v>5</v>
      </c>
      <c r="G16" s="979">
        <f t="shared" si="0"/>
        <v>22950.9</v>
      </c>
      <c r="I16" s="283"/>
    </row>
    <row r="17" spans="1:9" ht="17.25" customHeight="1">
      <c r="A17" s="984">
        <v>5</v>
      </c>
      <c r="B17" s="985" t="s">
        <v>1556</v>
      </c>
      <c r="C17" s="986">
        <v>7130850201</v>
      </c>
      <c r="D17" s="781" t="s">
        <v>748</v>
      </c>
      <c r="E17" s="275">
        <f>VLOOKUP(C17,'SOR RATE'!A260:D260,4,0)</f>
        <v>4590.18</v>
      </c>
      <c r="F17" s="981">
        <v>5</v>
      </c>
      <c r="G17" s="979">
        <f t="shared" si="0"/>
        <v>22950.9</v>
      </c>
      <c r="I17" s="283"/>
    </row>
    <row r="18" spans="1:8" ht="14.25">
      <c r="A18" s="984">
        <v>6</v>
      </c>
      <c r="B18" s="985" t="s">
        <v>1557</v>
      </c>
      <c r="C18" s="767">
        <v>7130810509</v>
      </c>
      <c r="D18" s="493" t="s">
        <v>748</v>
      </c>
      <c r="E18" s="780">
        <f>VLOOKUP(C18,'SOR RATE'!A197:D197,4,0)</f>
        <v>1676.77</v>
      </c>
      <c r="F18" s="981">
        <v>5</v>
      </c>
      <c r="G18" s="979">
        <f t="shared" si="0"/>
        <v>8383.85</v>
      </c>
      <c r="H18" s="1"/>
    </row>
    <row r="19" spans="1:7" ht="14.25">
      <c r="A19" s="984">
        <v>7</v>
      </c>
      <c r="B19" s="985" t="s">
        <v>1558</v>
      </c>
      <c r="C19" s="779">
        <v>7130810681</v>
      </c>
      <c r="D19" s="496" t="s">
        <v>748</v>
      </c>
      <c r="E19" s="275">
        <f>VLOOKUP(C19,'SOR RATE'!A:D,4,0)</f>
        <v>3257.64</v>
      </c>
      <c r="F19" s="981">
        <v>10</v>
      </c>
      <c r="G19" s="979">
        <f t="shared" si="0"/>
        <v>32576.399999999998</v>
      </c>
    </row>
    <row r="20" spans="1:7" ht="14.25">
      <c r="A20" s="984">
        <v>8</v>
      </c>
      <c r="B20" s="985" t="s">
        <v>1522</v>
      </c>
      <c r="C20" s="837">
        <v>7130820241</v>
      </c>
      <c r="D20" s="493" t="s">
        <v>748</v>
      </c>
      <c r="E20" s="275">
        <f>VLOOKUP(C20,'SOR RATE'!A:D,4,0)</f>
        <v>119.62</v>
      </c>
      <c r="F20" s="981">
        <v>36</v>
      </c>
      <c r="G20" s="979">
        <f t="shared" si="0"/>
        <v>4306.32</v>
      </c>
    </row>
    <row r="21" spans="1:9" ht="14.25">
      <c r="A21" s="984">
        <v>9</v>
      </c>
      <c r="B21" s="985" t="s">
        <v>1354</v>
      </c>
      <c r="C21" s="837">
        <v>7130820010</v>
      </c>
      <c r="D21" s="493" t="s">
        <v>19</v>
      </c>
      <c r="E21" s="275">
        <f>VLOOKUP(C21,'SOR RATE'!A213:D213,4,0)</f>
        <v>128.45</v>
      </c>
      <c r="F21" s="981">
        <v>36</v>
      </c>
      <c r="G21" s="979">
        <f t="shared" si="0"/>
        <v>4624.2</v>
      </c>
      <c r="I21" s="1"/>
    </row>
    <row r="22" spans="1:9" ht="14.25">
      <c r="A22" s="984">
        <v>10</v>
      </c>
      <c r="B22" s="985" t="s">
        <v>1523</v>
      </c>
      <c r="C22" s="837">
        <v>7130840029</v>
      </c>
      <c r="D22" s="493" t="s">
        <v>19</v>
      </c>
      <c r="E22" s="275">
        <f>VLOOKUP(C22,'SOR RATE'!A:D,4,0)</f>
        <v>504.66</v>
      </c>
      <c r="F22" s="981">
        <v>15</v>
      </c>
      <c r="G22" s="979">
        <f t="shared" si="0"/>
        <v>7569.900000000001</v>
      </c>
      <c r="I22" s="79"/>
    </row>
    <row r="23" spans="1:7" ht="14.25">
      <c r="A23" s="984">
        <v>11</v>
      </c>
      <c r="B23" s="985" t="s">
        <v>1545</v>
      </c>
      <c r="C23" s="837">
        <v>7131930412</v>
      </c>
      <c r="D23" s="493" t="s">
        <v>19</v>
      </c>
      <c r="E23" s="275">
        <f>VLOOKUP(C23,'SOR RATE'!A:D,4,0)</f>
        <v>1177.88</v>
      </c>
      <c r="F23" s="981">
        <v>15</v>
      </c>
      <c r="G23" s="979">
        <f t="shared" si="0"/>
        <v>17668.2</v>
      </c>
    </row>
    <row r="24" spans="1:7" ht="28.5" customHeight="1">
      <c r="A24" s="984">
        <v>12</v>
      </c>
      <c r="B24" s="985" t="s">
        <v>1559</v>
      </c>
      <c r="C24" s="987"/>
      <c r="D24" s="780" t="s">
        <v>19</v>
      </c>
      <c r="E24" s="780">
        <f>'D-8'!E24</f>
        <v>16000</v>
      </c>
      <c r="F24" s="981">
        <v>2</v>
      </c>
      <c r="G24" s="979">
        <f t="shared" si="0"/>
        <v>32000</v>
      </c>
    </row>
    <row r="25" spans="1:7" ht="30" customHeight="1">
      <c r="A25" s="984">
        <v>13</v>
      </c>
      <c r="B25" s="985" t="s">
        <v>1560</v>
      </c>
      <c r="C25" s="987"/>
      <c r="D25" s="780" t="s">
        <v>19</v>
      </c>
      <c r="E25" s="780">
        <f>'D-8'!E25</f>
        <v>13000</v>
      </c>
      <c r="F25" s="981">
        <v>3</v>
      </c>
      <c r="G25" s="979">
        <f t="shared" si="0"/>
        <v>39000</v>
      </c>
    </row>
    <row r="26" spans="1:13" ht="15.75" customHeight="1">
      <c r="A26" s="984">
        <v>14</v>
      </c>
      <c r="B26" s="985" t="s">
        <v>1527</v>
      </c>
      <c r="C26" s="982">
        <v>7130310021</v>
      </c>
      <c r="D26" s="493" t="s">
        <v>980</v>
      </c>
      <c r="E26" s="275">
        <f>VLOOKUP(C26,'SOR RATE'!A:D,4,0)/1000</f>
        <v>28.15659</v>
      </c>
      <c r="F26" s="981">
        <v>100</v>
      </c>
      <c r="G26" s="979">
        <f t="shared" si="0"/>
        <v>2815.659</v>
      </c>
      <c r="I26" s="305"/>
      <c r="J26" s="305"/>
      <c r="K26" s="305"/>
      <c r="L26" s="305"/>
      <c r="M26" s="305"/>
    </row>
    <row r="27" spans="1:13" ht="15.75" customHeight="1">
      <c r="A27" s="984">
        <v>15</v>
      </c>
      <c r="B27" s="985" t="s">
        <v>1528</v>
      </c>
      <c r="C27" s="837">
        <v>7130310044</v>
      </c>
      <c r="D27" s="493" t="s">
        <v>980</v>
      </c>
      <c r="E27" s="275">
        <f>VLOOKUP(C27,'SOR RATE'!A:D,4,0)/1000</f>
        <v>55.8925</v>
      </c>
      <c r="F27" s="981">
        <v>1300</v>
      </c>
      <c r="G27" s="979">
        <f t="shared" si="0"/>
        <v>72660.25</v>
      </c>
      <c r="I27" s="79"/>
      <c r="J27" s="79"/>
      <c r="K27" s="79"/>
      <c r="L27" s="79"/>
      <c r="M27" s="79"/>
    </row>
    <row r="28" spans="1:7" ht="14.25">
      <c r="A28" s="984">
        <v>16</v>
      </c>
      <c r="B28" s="985" t="s">
        <v>1561</v>
      </c>
      <c r="C28" s="837">
        <v>7130641396</v>
      </c>
      <c r="D28" s="493" t="s">
        <v>980</v>
      </c>
      <c r="E28" s="275">
        <f>VLOOKUP(C28,'SOR RATE'!A:D,4,0)</f>
        <v>215.22</v>
      </c>
      <c r="F28" s="981">
        <v>45</v>
      </c>
      <c r="G28" s="979">
        <f t="shared" si="0"/>
        <v>9684.9</v>
      </c>
    </row>
    <row r="29" spans="1:7" ht="14.25">
      <c r="A29" s="984">
        <v>17</v>
      </c>
      <c r="B29" s="985" t="s">
        <v>1361</v>
      </c>
      <c r="C29" s="837">
        <v>7130870043</v>
      </c>
      <c r="D29" s="493" t="s">
        <v>907</v>
      </c>
      <c r="E29" s="275">
        <f>VLOOKUP(C29,'SOR RATE'!A:D,4,0)/1000</f>
        <v>62.99996</v>
      </c>
      <c r="F29" s="981">
        <v>130</v>
      </c>
      <c r="G29" s="979">
        <f t="shared" si="0"/>
        <v>8189.9948</v>
      </c>
    </row>
    <row r="30" spans="1:7" ht="14.25">
      <c r="A30" s="984">
        <v>18</v>
      </c>
      <c r="B30" s="985" t="s">
        <v>1374</v>
      </c>
      <c r="C30" s="768">
        <v>7130810495</v>
      </c>
      <c r="D30" s="493" t="s">
        <v>19</v>
      </c>
      <c r="E30" s="275">
        <f>VLOOKUP(C30,'SOR RATE'!A:D,4,0)</f>
        <v>1057.95</v>
      </c>
      <c r="F30" s="981">
        <v>45</v>
      </c>
      <c r="G30" s="979">
        <f t="shared" si="0"/>
        <v>47607.75</v>
      </c>
    </row>
    <row r="31" spans="1:7" ht="14.25">
      <c r="A31" s="553">
        <v>19</v>
      </c>
      <c r="B31" s="279" t="s">
        <v>1375</v>
      </c>
      <c r="C31" s="768">
        <v>7130810679</v>
      </c>
      <c r="D31" s="493" t="s">
        <v>19</v>
      </c>
      <c r="E31" s="275">
        <f>VLOOKUP(C31,'SOR RATE'!A:D,4,0)</f>
        <v>296.79</v>
      </c>
      <c r="F31" s="981">
        <v>45</v>
      </c>
      <c r="G31" s="979">
        <f t="shared" si="0"/>
        <v>13355.550000000001</v>
      </c>
    </row>
    <row r="32" spans="1:10" ht="14.25">
      <c r="A32" s="984">
        <v>20</v>
      </c>
      <c r="B32" s="985" t="s">
        <v>722</v>
      </c>
      <c r="C32" s="768">
        <v>7130820008</v>
      </c>
      <c r="D32" s="493" t="s">
        <v>19</v>
      </c>
      <c r="E32" s="275">
        <f>VLOOKUP(C32,'SOR RATE'!A:D,4,0)</f>
        <v>142.14</v>
      </c>
      <c r="F32" s="981">
        <v>135</v>
      </c>
      <c r="G32" s="979">
        <f t="shared" si="0"/>
        <v>19188.899999999998</v>
      </c>
      <c r="I32" s="79"/>
      <c r="J32" s="79"/>
    </row>
    <row r="33" spans="1:7" ht="17.25" customHeight="1">
      <c r="A33" s="553">
        <v>21</v>
      </c>
      <c r="B33" s="274" t="s">
        <v>1407</v>
      </c>
      <c r="C33" s="779">
        <v>7130870013</v>
      </c>
      <c r="D33" s="553" t="s">
        <v>19</v>
      </c>
      <c r="E33" s="275">
        <f>VLOOKUP(C33,'SOR RATE'!A:D,4,0)</f>
        <v>114.85</v>
      </c>
      <c r="F33" s="981">
        <v>45</v>
      </c>
      <c r="G33" s="979">
        <f t="shared" si="0"/>
        <v>5168.25</v>
      </c>
    </row>
    <row r="34" spans="1:7" ht="14.25">
      <c r="A34" s="1103">
        <v>22</v>
      </c>
      <c r="B34" s="752" t="s">
        <v>908</v>
      </c>
      <c r="C34" s="909"/>
      <c r="D34" s="554" t="s">
        <v>907</v>
      </c>
      <c r="E34" s="571"/>
      <c r="F34" s="617">
        <v>190</v>
      </c>
      <c r="G34" s="841"/>
    </row>
    <row r="35" spans="1:7" ht="14.25">
      <c r="A35" s="1104"/>
      <c r="B35" s="807" t="s">
        <v>13</v>
      </c>
      <c r="C35" s="982">
        <v>7130620609</v>
      </c>
      <c r="D35" s="554" t="s">
        <v>907</v>
      </c>
      <c r="E35" s="780">
        <f>VLOOKUP(C35,'SOR RATE'!A:D,4,0)</f>
        <v>69.38</v>
      </c>
      <c r="F35" s="981">
        <v>30</v>
      </c>
      <c r="G35" s="979">
        <f t="shared" si="0"/>
        <v>2081.3999999999996</v>
      </c>
    </row>
    <row r="36" spans="1:7" ht="14.25">
      <c r="A36" s="1104"/>
      <c r="B36" s="807" t="s">
        <v>1226</v>
      </c>
      <c r="C36" s="982">
        <v>7130620614</v>
      </c>
      <c r="D36" s="554" t="s">
        <v>907</v>
      </c>
      <c r="E36" s="780">
        <f>VLOOKUP(C36,'SOR RATE'!A:D,4,0)</f>
        <v>68.22</v>
      </c>
      <c r="F36" s="981">
        <v>60</v>
      </c>
      <c r="G36" s="979">
        <f t="shared" si="0"/>
        <v>4093.2</v>
      </c>
    </row>
    <row r="37" spans="1:7" ht="14.25">
      <c r="A37" s="1104"/>
      <c r="B37" s="807" t="s">
        <v>1227</v>
      </c>
      <c r="C37" s="768">
        <v>7130620619</v>
      </c>
      <c r="D37" s="554" t="s">
        <v>907</v>
      </c>
      <c r="E37" s="780">
        <f>VLOOKUP(C37,'SOR RATE'!A:D,4,0)</f>
        <v>68.22</v>
      </c>
      <c r="F37" s="981">
        <v>10</v>
      </c>
      <c r="G37" s="979">
        <f t="shared" si="0"/>
        <v>682.2</v>
      </c>
    </row>
    <row r="38" spans="1:7" ht="14.25">
      <c r="A38" s="1104"/>
      <c r="B38" s="802" t="s">
        <v>1228</v>
      </c>
      <c r="C38" s="754">
        <v>7130620625</v>
      </c>
      <c r="D38" s="554" t="s">
        <v>907</v>
      </c>
      <c r="E38" s="571">
        <f>VLOOKUP(C38,'SOR RATE'!A:D,4,0)</f>
        <v>67.06</v>
      </c>
      <c r="F38" s="617">
        <v>30</v>
      </c>
      <c r="G38" s="841">
        <f t="shared" si="0"/>
        <v>2011.8000000000002</v>
      </c>
    </row>
    <row r="39" spans="1:7" ht="14.25">
      <c r="A39" s="1104"/>
      <c r="B39" s="807" t="s">
        <v>1229</v>
      </c>
      <c r="C39" s="768">
        <v>7130620627</v>
      </c>
      <c r="D39" s="554" t="s">
        <v>907</v>
      </c>
      <c r="E39" s="780">
        <f>VLOOKUP(C39,'SOR RATE'!A:D,4,0)</f>
        <v>67.06</v>
      </c>
      <c r="F39" s="981">
        <v>30</v>
      </c>
      <c r="G39" s="979">
        <f t="shared" si="0"/>
        <v>2011.8000000000002</v>
      </c>
    </row>
    <row r="40" spans="1:7" ht="14.25">
      <c r="A40" s="1095"/>
      <c r="B40" s="993" t="s">
        <v>1532</v>
      </c>
      <c r="C40" s="768">
        <v>7130620631</v>
      </c>
      <c r="D40" s="554" t="s">
        <v>907</v>
      </c>
      <c r="E40" s="780">
        <f>VLOOKUP(C40,'SOR RATE'!A:D,4,0)</f>
        <v>67.06</v>
      </c>
      <c r="F40" s="981">
        <v>30</v>
      </c>
      <c r="G40" s="979">
        <f t="shared" si="0"/>
        <v>2011.8000000000002</v>
      </c>
    </row>
    <row r="41" spans="1:7" ht="30.75" customHeight="1">
      <c r="A41" s="1160">
        <v>23</v>
      </c>
      <c r="B41" s="756" t="s">
        <v>1766</v>
      </c>
      <c r="C41" s="982"/>
      <c r="D41" s="553"/>
      <c r="E41" s="780"/>
      <c r="F41" s="981">
        <f>6+25</f>
        <v>31</v>
      </c>
      <c r="G41" s="979"/>
    </row>
    <row r="42" spans="1:9" ht="18" customHeight="1">
      <c r="A42" s="1160"/>
      <c r="B42" s="502" t="s">
        <v>1773</v>
      </c>
      <c r="C42" s="779">
        <v>7130640008</v>
      </c>
      <c r="D42" s="911" t="s">
        <v>926</v>
      </c>
      <c r="E42" s="897">
        <f>VLOOKUP(C42,'SOR RATE'!A:D,4,0)</f>
        <v>158</v>
      </c>
      <c r="F42" s="898">
        <f>6+(25*2)</f>
        <v>56</v>
      </c>
      <c r="G42" s="979">
        <f>E42*F42</f>
        <v>8848</v>
      </c>
      <c r="H42" s="608" t="s">
        <v>1894</v>
      </c>
      <c r="I42" s="608" t="s">
        <v>1886</v>
      </c>
    </row>
    <row r="43" spans="1:10" ht="14.25">
      <c r="A43" s="553">
        <v>24</v>
      </c>
      <c r="B43" s="980" t="s">
        <v>1549</v>
      </c>
      <c r="C43" s="493">
        <v>7130860017</v>
      </c>
      <c r="D43" s="553" t="s">
        <v>19</v>
      </c>
      <c r="E43" s="780">
        <f>VLOOKUP(C43,'SOR RATE'!A:D,4,0)</f>
        <v>105.19</v>
      </c>
      <c r="F43" s="981">
        <v>10</v>
      </c>
      <c r="G43" s="979">
        <f t="shared" si="0"/>
        <v>1051.9</v>
      </c>
      <c r="I43" s="47"/>
      <c r="J43" s="287"/>
    </row>
    <row r="44" spans="1:7" ht="17.25" customHeight="1">
      <c r="A44" s="554">
        <v>25</v>
      </c>
      <c r="B44" s="279" t="s">
        <v>1534</v>
      </c>
      <c r="C44" s="768">
        <v>7130830055</v>
      </c>
      <c r="D44" s="493" t="s">
        <v>980</v>
      </c>
      <c r="E44" s="780">
        <f>VLOOKUP(C44,'SOR RATE'!A:D,4,0)/1000</f>
        <v>20.60463</v>
      </c>
      <c r="F44" s="981">
        <v>600</v>
      </c>
      <c r="G44" s="979">
        <f t="shared" si="0"/>
        <v>12362.778</v>
      </c>
    </row>
    <row r="45" spans="1:9" ht="15">
      <c r="A45" s="525">
        <v>26</v>
      </c>
      <c r="B45" s="277" t="s">
        <v>566</v>
      </c>
      <c r="C45" s="992"/>
      <c r="D45" s="553"/>
      <c r="E45" s="553"/>
      <c r="F45" s="543"/>
      <c r="G45" s="543">
        <f>SUM(G10:G44)</f>
        <v>581778.9223000002</v>
      </c>
      <c r="H45" s="379"/>
      <c r="I45" s="430"/>
    </row>
    <row r="46" spans="1:9" ht="16.5" customHeight="1">
      <c r="A46" s="724" t="s">
        <v>1774</v>
      </c>
      <c r="B46" s="61" t="s">
        <v>565</v>
      </c>
      <c r="C46" s="942"/>
      <c r="D46" s="943"/>
      <c r="E46" s="62">
        <v>0.09</v>
      </c>
      <c r="F46" s="62"/>
      <c r="G46" s="571">
        <f>G45*E46</f>
        <v>52360.10300700002</v>
      </c>
      <c r="H46" s="379"/>
      <c r="I46" s="430"/>
    </row>
    <row r="47" spans="1:9" ht="16.5" customHeight="1">
      <c r="A47" s="724" t="s">
        <v>1562</v>
      </c>
      <c r="B47" s="274" t="s">
        <v>1409</v>
      </c>
      <c r="C47" s="942"/>
      <c r="D47" s="840" t="s">
        <v>19</v>
      </c>
      <c r="E47" s="571">
        <f>97*1.11*1.086275*1.1112*1.0685*1.06217*1.059*1.2778</f>
        <v>199.5970562453939</v>
      </c>
      <c r="F47" s="62">
        <v>6</v>
      </c>
      <c r="G47" s="571">
        <f>E47*F47</f>
        <v>1197.5823374723634</v>
      </c>
      <c r="H47" s="383"/>
      <c r="I47" s="446"/>
    </row>
    <row r="48" spans="1:10" ht="15.75" customHeight="1">
      <c r="A48" s="553">
        <v>29</v>
      </c>
      <c r="B48" s="531" t="s">
        <v>1563</v>
      </c>
      <c r="C48" s="983"/>
      <c r="D48" s="780"/>
      <c r="E48" s="553"/>
      <c r="F48" s="553"/>
      <c r="G48" s="780">
        <v>113945.61</v>
      </c>
      <c r="H48" s="431"/>
      <c r="I48" s="54"/>
      <c r="J48" s="78"/>
    </row>
    <row r="49" spans="1:9" ht="15.75" customHeight="1">
      <c r="A49" s="553">
        <v>30</v>
      </c>
      <c r="B49" s="860" t="s">
        <v>80</v>
      </c>
      <c r="C49" s="983"/>
      <c r="D49" s="780"/>
      <c r="E49" s="553"/>
      <c r="F49" s="553"/>
      <c r="G49" s="275">
        <f>(6318.17*1.88%)+6318.17</f>
        <v>6436.951596</v>
      </c>
      <c r="H49" s="622"/>
      <c r="I49" s="295"/>
    </row>
    <row r="50" spans="1:9" ht="15">
      <c r="A50" s="526">
        <v>31</v>
      </c>
      <c r="B50" s="277" t="s">
        <v>567</v>
      </c>
      <c r="C50" s="983"/>
      <c r="D50" s="780"/>
      <c r="E50" s="553"/>
      <c r="F50" s="553"/>
      <c r="G50" s="543">
        <f>G45+G46+G47+G48+G49</f>
        <v>755719.1692404726</v>
      </c>
      <c r="H50" s="383"/>
      <c r="I50" s="1"/>
    </row>
    <row r="51" spans="1:9" ht="31.5" customHeight="1">
      <c r="A51" s="553">
        <v>32</v>
      </c>
      <c r="B51" s="61" t="s">
        <v>1747</v>
      </c>
      <c r="C51" s="983"/>
      <c r="D51" s="780"/>
      <c r="E51" s="553">
        <v>0.125</v>
      </c>
      <c r="F51" s="553"/>
      <c r="G51" s="780">
        <f>G45*E51</f>
        <v>72722.36528750003</v>
      </c>
      <c r="H51" s="120"/>
      <c r="I51" s="1"/>
    </row>
    <row r="52" spans="1:7" ht="15.75" customHeight="1">
      <c r="A52" s="554">
        <v>33</v>
      </c>
      <c r="B52" s="279" t="s">
        <v>1411</v>
      </c>
      <c r="C52" s="779"/>
      <c r="D52" s="780"/>
      <c r="E52" s="553"/>
      <c r="F52" s="780"/>
      <c r="G52" s="780">
        <f>G50+G51</f>
        <v>828441.5345279726</v>
      </c>
    </row>
    <row r="53" spans="1:7" ht="17.25" customHeight="1">
      <c r="A53" s="526">
        <v>34</v>
      </c>
      <c r="B53" s="808" t="s">
        <v>1412</v>
      </c>
      <c r="C53" s="809"/>
      <c r="D53" s="783"/>
      <c r="E53" s="549"/>
      <c r="F53" s="553"/>
      <c r="G53" s="543">
        <f>ROUND(G52,0)</f>
        <v>828442</v>
      </c>
    </row>
    <row r="54" spans="1:7" ht="15">
      <c r="A54" s="557"/>
      <c r="B54" s="326"/>
      <c r="C54" s="455"/>
      <c r="D54" s="456"/>
      <c r="E54" s="327"/>
      <c r="F54" s="450"/>
      <c r="G54" s="336"/>
    </row>
    <row r="55" spans="1:7" ht="20.25" customHeight="1">
      <c r="A55" s="282" t="s">
        <v>1564</v>
      </c>
      <c r="B55" s="1158" t="s">
        <v>1565</v>
      </c>
      <c r="C55" s="1158"/>
      <c r="D55" s="1158"/>
      <c r="E55" s="1158"/>
      <c r="F55" s="1158"/>
      <c r="G55" s="1158"/>
    </row>
    <row r="56" spans="1:7" ht="16.5" customHeight="1">
      <c r="A56" s="41" t="s">
        <v>982</v>
      </c>
      <c r="B56" s="481" t="s">
        <v>1750</v>
      </c>
      <c r="C56" s="457"/>
      <c r="D56" s="315"/>
      <c r="E56" s="315"/>
      <c r="F56" s="315"/>
      <c r="G56" s="315"/>
    </row>
    <row r="57" spans="1:2" ht="17.25" customHeight="1">
      <c r="A57" s="41" t="s">
        <v>257</v>
      </c>
      <c r="B57" s="481" t="s">
        <v>1749</v>
      </c>
    </row>
    <row r="58" ht="14.25">
      <c r="B58" s="458"/>
    </row>
    <row r="59" ht="14.25">
      <c r="B59" s="458"/>
    </row>
    <row r="60" ht="14.25">
      <c r="B60" s="458"/>
    </row>
    <row r="61" ht="14.25">
      <c r="B61" s="458"/>
    </row>
  </sheetData>
  <sheetProtection/>
  <mergeCells count="6">
    <mergeCell ref="B55:G55"/>
    <mergeCell ref="A1:G1"/>
    <mergeCell ref="A3:G3"/>
    <mergeCell ref="A13:A15"/>
    <mergeCell ref="A34:A40"/>
    <mergeCell ref="A41:A42"/>
  </mergeCells>
  <printOptions horizontalCentered="1"/>
  <pageMargins left="0.74" right="0.16" top="0.76" bottom="0.32" header="0.5" footer="0.15"/>
  <pageSetup horizontalDpi="600" verticalDpi="600" orientation="landscape" scale="105" r:id="rId3"/>
  <ignoredErrors>
    <ignoredError sqref="A46:A47" numberStoredAsText="1"/>
  </ignoredErrors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43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F5" sqref="F5:G5"/>
    </sheetView>
  </sheetViews>
  <sheetFormatPr defaultColWidth="9.140625" defaultRowHeight="12.75"/>
  <cols>
    <col min="1" max="1" width="4.421875" style="540" customWidth="1"/>
    <col min="2" max="2" width="59.57421875" style="1" customWidth="1"/>
    <col min="3" max="3" width="12.28125" style="1" customWidth="1"/>
    <col min="4" max="4" width="6.00390625" style="1" customWidth="1"/>
    <col min="5" max="5" width="5.28125" style="1" customWidth="1"/>
    <col min="6" max="6" width="9.140625" style="1" customWidth="1"/>
    <col min="7" max="7" width="9.57421875" style="1" customWidth="1"/>
    <col min="8" max="8" width="21.140625" style="1" customWidth="1"/>
    <col min="9" max="9" width="20.57421875" style="1" customWidth="1"/>
    <col min="10" max="10" width="12.57421875" style="1" customWidth="1"/>
    <col min="11" max="11" width="3.28125" style="1" bestFit="1" customWidth="1"/>
    <col min="12" max="12" width="3.421875" style="1" customWidth="1"/>
    <col min="13" max="13" width="4.00390625" style="1" bestFit="1" customWidth="1"/>
    <col min="14" max="16384" width="9.140625" style="1" customWidth="1"/>
  </cols>
  <sheetData>
    <row r="1" spans="2:9" ht="18" customHeight="1">
      <c r="B1" s="1080" t="s">
        <v>1566</v>
      </c>
      <c r="C1" s="1080"/>
      <c r="D1" s="78"/>
      <c r="E1" s="78"/>
      <c r="F1" s="78"/>
      <c r="G1" s="78"/>
      <c r="H1" s="33"/>
      <c r="I1" s="33"/>
    </row>
    <row r="2" spans="1:9" ht="9.75" customHeight="1">
      <c r="A2" s="80"/>
      <c r="B2" s="78"/>
      <c r="C2" s="78"/>
      <c r="D2" s="78"/>
      <c r="E2" s="78"/>
      <c r="F2" s="78"/>
      <c r="G2" s="78"/>
      <c r="H2" s="33"/>
      <c r="I2" s="33"/>
    </row>
    <row r="3" spans="1:7" ht="15" customHeight="1">
      <c r="A3" s="541"/>
      <c r="B3" s="1068" t="s">
        <v>1567</v>
      </c>
      <c r="C3" s="1068"/>
      <c r="D3" s="1068"/>
      <c r="E3" s="22"/>
      <c r="F3" s="22"/>
      <c r="G3" s="22"/>
    </row>
    <row r="4" spans="1:7" ht="11.25" customHeight="1">
      <c r="A4" s="19"/>
      <c r="B4" s="22"/>
      <c r="C4" s="22"/>
      <c r="D4" s="22"/>
      <c r="E4" s="22"/>
      <c r="F4" s="22"/>
      <c r="G4" s="22"/>
    </row>
    <row r="5" spans="1:7" ht="15.75">
      <c r="A5" s="19"/>
      <c r="B5" s="22"/>
      <c r="C5" s="22"/>
      <c r="D5" s="22"/>
      <c r="E5" s="22"/>
      <c r="F5" s="1070" t="s">
        <v>1823</v>
      </c>
      <c r="G5" s="1070"/>
    </row>
    <row r="6" spans="1:7" ht="25.5">
      <c r="A6" s="534" t="s">
        <v>1225</v>
      </c>
      <c r="B6" s="534" t="s">
        <v>16</v>
      </c>
      <c r="C6" s="538" t="s">
        <v>1389</v>
      </c>
      <c r="D6" s="534" t="s">
        <v>17</v>
      </c>
      <c r="E6" s="534" t="s">
        <v>580</v>
      </c>
      <c r="F6" s="534" t="s">
        <v>1568</v>
      </c>
      <c r="G6" s="534" t="s">
        <v>747</v>
      </c>
    </row>
    <row r="7" spans="1:9" ht="12.75">
      <c r="A7" s="534">
        <v>1</v>
      </c>
      <c r="B7" s="534">
        <v>2</v>
      </c>
      <c r="C7" s="538">
        <v>3</v>
      </c>
      <c r="D7" s="459">
        <v>4</v>
      </c>
      <c r="E7" s="534">
        <v>5</v>
      </c>
      <c r="F7" s="534">
        <v>6</v>
      </c>
      <c r="G7" s="534">
        <v>7</v>
      </c>
      <c r="H7" s="460"/>
      <c r="I7" s="33"/>
    </row>
    <row r="8" spans="1:9" ht="15" customHeight="1">
      <c r="A8" s="748">
        <v>1</v>
      </c>
      <c r="B8" s="727" t="s">
        <v>1569</v>
      </c>
      <c r="C8" s="789">
        <v>7130800012</v>
      </c>
      <c r="D8" s="994" t="s">
        <v>19</v>
      </c>
      <c r="E8" s="627">
        <v>1</v>
      </c>
      <c r="F8" s="750">
        <f>VLOOKUP(C8,'SOR RATE'!A:D,4,0)</f>
        <v>2255.2</v>
      </c>
      <c r="G8" s="726">
        <f aca="true" t="shared" si="0" ref="G8:G18">F8*E8</f>
        <v>2255.2</v>
      </c>
      <c r="I8" s="26"/>
    </row>
    <row r="9" spans="1:7" ht="15" customHeight="1">
      <c r="A9" s="748">
        <f>A8+1</f>
        <v>2</v>
      </c>
      <c r="B9" s="727" t="s">
        <v>1570</v>
      </c>
      <c r="C9" s="770">
        <v>7130810495</v>
      </c>
      <c r="D9" s="745" t="s">
        <v>19</v>
      </c>
      <c r="E9" s="627">
        <v>17</v>
      </c>
      <c r="F9" s="750">
        <f>VLOOKUP(C9,'SOR RATE'!A:D,4,0)</f>
        <v>1057.95</v>
      </c>
      <c r="G9" s="726">
        <f t="shared" si="0"/>
        <v>17985.15</v>
      </c>
    </row>
    <row r="10" spans="1:7" ht="15" customHeight="1">
      <c r="A10" s="748">
        <f>A9+1</f>
        <v>3</v>
      </c>
      <c r="B10" s="727" t="s">
        <v>1359</v>
      </c>
      <c r="C10" s="770">
        <v>7130810679</v>
      </c>
      <c r="D10" s="745" t="s">
        <v>19</v>
      </c>
      <c r="E10" s="627">
        <v>17</v>
      </c>
      <c r="F10" s="750">
        <f>VLOOKUP(C10,'SOR RATE'!A:D,4,0)</f>
        <v>296.79</v>
      </c>
      <c r="G10" s="726">
        <f t="shared" si="0"/>
        <v>5045.43</v>
      </c>
    </row>
    <row r="11" spans="1:7" ht="15" customHeight="1">
      <c r="A11" s="748">
        <f>A10+1</f>
        <v>4</v>
      </c>
      <c r="B11" s="727" t="s">
        <v>1571</v>
      </c>
      <c r="C11" s="789">
        <v>7130870013</v>
      </c>
      <c r="D11" s="995" t="s">
        <v>19</v>
      </c>
      <c r="E11" s="627">
        <v>17</v>
      </c>
      <c r="F11" s="750">
        <f>VLOOKUP(C11,'SOR RATE'!A:D,4,0)</f>
        <v>114.85</v>
      </c>
      <c r="G11" s="726">
        <f t="shared" si="0"/>
        <v>1952.4499999999998</v>
      </c>
    </row>
    <row r="12" spans="1:10" ht="15" customHeight="1">
      <c r="A12" s="748">
        <f>A11+1</f>
        <v>5</v>
      </c>
      <c r="B12" s="812" t="s">
        <v>722</v>
      </c>
      <c r="C12" s="777">
        <v>7130820008</v>
      </c>
      <c r="D12" s="745" t="s">
        <v>19</v>
      </c>
      <c r="E12" s="627">
        <v>51</v>
      </c>
      <c r="F12" s="750">
        <f>VLOOKUP(C12,'SOR RATE'!A:D,4,0)</f>
        <v>142.14</v>
      </c>
      <c r="G12" s="726">
        <f t="shared" si="0"/>
        <v>7249.139999999999</v>
      </c>
      <c r="I12" s="79"/>
      <c r="J12" s="79"/>
    </row>
    <row r="13" spans="1:7" ht="15" customHeight="1">
      <c r="A13" s="748">
        <v>6</v>
      </c>
      <c r="B13" s="795" t="s">
        <v>1572</v>
      </c>
      <c r="C13" s="996">
        <v>7130830854</v>
      </c>
      <c r="D13" s="729" t="s">
        <v>19</v>
      </c>
      <c r="E13" s="627">
        <v>6</v>
      </c>
      <c r="F13" s="750">
        <f>VLOOKUP(C13,'SOR RATE'!A:D,4,0)</f>
        <v>29.14</v>
      </c>
      <c r="G13" s="726">
        <f t="shared" si="0"/>
        <v>174.84</v>
      </c>
    </row>
    <row r="14" spans="1:7" ht="15" customHeight="1">
      <c r="A14" s="748">
        <v>7</v>
      </c>
      <c r="B14" s="727" t="s">
        <v>832</v>
      </c>
      <c r="C14" s="789">
        <v>7130211158</v>
      </c>
      <c r="D14" s="994" t="s">
        <v>905</v>
      </c>
      <c r="E14" s="627">
        <v>3</v>
      </c>
      <c r="F14" s="750">
        <f>VLOOKUP(C14,'SOR RATE'!A:D,4,0)</f>
        <v>146.77</v>
      </c>
      <c r="G14" s="726">
        <f t="shared" si="0"/>
        <v>440.31000000000006</v>
      </c>
    </row>
    <row r="15" spans="1:7" ht="15" customHeight="1">
      <c r="A15" s="748">
        <v>8</v>
      </c>
      <c r="B15" s="727" t="s">
        <v>1093</v>
      </c>
      <c r="C15" s="789">
        <v>7130210809</v>
      </c>
      <c r="D15" s="994" t="s">
        <v>905</v>
      </c>
      <c r="E15" s="627">
        <v>3</v>
      </c>
      <c r="F15" s="750">
        <f>VLOOKUP(C15,'SOR RATE'!A:D,4,0)</f>
        <v>327.94</v>
      </c>
      <c r="G15" s="726">
        <f t="shared" si="0"/>
        <v>983.8199999999999</v>
      </c>
    </row>
    <row r="16" spans="1:9" ht="15" customHeight="1">
      <c r="A16" s="748">
        <v>9</v>
      </c>
      <c r="B16" s="725" t="s">
        <v>1351</v>
      </c>
      <c r="C16" s="728">
        <v>7130610206</v>
      </c>
      <c r="D16" s="745" t="s">
        <v>907</v>
      </c>
      <c r="E16" s="627">
        <v>17</v>
      </c>
      <c r="F16" s="750">
        <f>VLOOKUP(C16,'SOR RATE'!A:D,4,0)/1000</f>
        <v>76.07503</v>
      </c>
      <c r="G16" s="726">
        <f t="shared" si="0"/>
        <v>1293.27551</v>
      </c>
      <c r="H16" s="56"/>
      <c r="I16" s="25"/>
    </row>
    <row r="17" spans="1:7" ht="15" customHeight="1">
      <c r="A17" s="748">
        <v>10</v>
      </c>
      <c r="B17" s="727" t="s">
        <v>445</v>
      </c>
      <c r="C17" s="770">
        <v>7130880041</v>
      </c>
      <c r="D17" s="745" t="s">
        <v>19</v>
      </c>
      <c r="E17" s="627">
        <v>17</v>
      </c>
      <c r="F17" s="750">
        <f>VLOOKUP(C17,'SOR RATE'!A:D,4,0)</f>
        <v>89.74</v>
      </c>
      <c r="G17" s="726">
        <f t="shared" si="0"/>
        <v>1525.58</v>
      </c>
    </row>
    <row r="18" spans="1:7" ht="15" customHeight="1">
      <c r="A18" s="748">
        <v>11</v>
      </c>
      <c r="B18" s="727" t="s">
        <v>1573</v>
      </c>
      <c r="C18" s="770">
        <v>7130830006</v>
      </c>
      <c r="D18" s="745" t="s">
        <v>907</v>
      </c>
      <c r="E18" s="627">
        <v>5</v>
      </c>
      <c r="F18" s="750">
        <f>VLOOKUP(C18,'SOR RATE'!A:D,4,0)</f>
        <v>155.45</v>
      </c>
      <c r="G18" s="726">
        <f t="shared" si="0"/>
        <v>777.25</v>
      </c>
    </row>
    <row r="19" spans="1:7" ht="15" customHeight="1">
      <c r="A19" s="1120">
        <v>12</v>
      </c>
      <c r="B19" s="727" t="s">
        <v>1574</v>
      </c>
      <c r="C19" s="854"/>
      <c r="D19" s="855"/>
      <c r="E19" s="855"/>
      <c r="F19" s="855"/>
      <c r="G19" s="856"/>
    </row>
    <row r="20" spans="1:7" ht="15" customHeight="1">
      <c r="A20" s="1121"/>
      <c r="B20" s="727" t="s">
        <v>1227</v>
      </c>
      <c r="C20" s="770">
        <v>7130620619</v>
      </c>
      <c r="D20" s="852" t="s">
        <v>907</v>
      </c>
      <c r="E20" s="627">
        <v>2</v>
      </c>
      <c r="F20" s="750">
        <f>VLOOKUP(C20,'SOR RATE'!A:D,4,0)</f>
        <v>68.22</v>
      </c>
      <c r="G20" s="726">
        <f>F20*E20</f>
        <v>136.44</v>
      </c>
    </row>
    <row r="21" spans="1:7" ht="15" customHeight="1">
      <c r="A21" s="1122"/>
      <c r="B21" s="727" t="s">
        <v>1229</v>
      </c>
      <c r="C21" s="770">
        <v>7130620627</v>
      </c>
      <c r="D21" s="852" t="s">
        <v>907</v>
      </c>
      <c r="E21" s="627">
        <v>17</v>
      </c>
      <c r="F21" s="750">
        <f>VLOOKUP(C21,'SOR RATE'!A:D,4,0)</f>
        <v>67.06</v>
      </c>
      <c r="G21" s="726">
        <f>F21*E21</f>
        <v>1140.02</v>
      </c>
    </row>
    <row r="22" spans="1:7" ht="15" customHeight="1">
      <c r="A22" s="1120">
        <v>13</v>
      </c>
      <c r="B22" s="727" t="s">
        <v>447</v>
      </c>
      <c r="C22" s="854"/>
      <c r="D22" s="855"/>
      <c r="E22" s="855"/>
      <c r="F22" s="855"/>
      <c r="G22" s="856"/>
    </row>
    <row r="23" spans="1:9" ht="15" customHeight="1">
      <c r="A23" s="1121"/>
      <c r="B23" s="727" t="s">
        <v>1575</v>
      </c>
      <c r="C23" s="770">
        <v>7130810511</v>
      </c>
      <c r="D23" s="745" t="s">
        <v>19</v>
      </c>
      <c r="E23" s="627">
        <v>1</v>
      </c>
      <c r="F23" s="750">
        <f>VLOOKUP(C23,'SOR RATE'!A:D,4,0)</f>
        <v>2508.6</v>
      </c>
      <c r="G23" s="726">
        <f aca="true" t="shared" si="1" ref="G23:G28">F23*E23</f>
        <v>2508.6</v>
      </c>
      <c r="I23" s="26"/>
    </row>
    <row r="24" spans="1:7" ht="15" customHeight="1">
      <c r="A24" s="1121"/>
      <c r="B24" s="727" t="s">
        <v>719</v>
      </c>
      <c r="C24" s="770">
        <v>7130870043</v>
      </c>
      <c r="D24" s="745" t="s">
        <v>907</v>
      </c>
      <c r="E24" s="627">
        <v>35</v>
      </c>
      <c r="F24" s="750">
        <f>VLOOKUP(C24,'SOR RATE'!A:D,4,0)/1000</f>
        <v>62.99996</v>
      </c>
      <c r="G24" s="726">
        <f t="shared" si="1"/>
        <v>2204.9986</v>
      </c>
    </row>
    <row r="25" spans="1:13" ht="15" customHeight="1">
      <c r="A25" s="1121"/>
      <c r="B25" s="727" t="s">
        <v>1576</v>
      </c>
      <c r="C25" s="797">
        <v>7130810026</v>
      </c>
      <c r="D25" s="745" t="s">
        <v>19</v>
      </c>
      <c r="E25" s="627">
        <v>2</v>
      </c>
      <c r="F25" s="750">
        <f>VLOOKUP(C25,'SOR RATE'!A183:D183,4,0)</f>
        <v>291.13</v>
      </c>
      <c r="G25" s="726">
        <f t="shared" si="1"/>
        <v>582.26</v>
      </c>
      <c r="I25" s="48"/>
      <c r="J25" s="461"/>
      <c r="K25" s="287"/>
      <c r="L25" s="287"/>
      <c r="M25" s="118"/>
    </row>
    <row r="26" spans="1:7" ht="15" customHeight="1">
      <c r="A26" s="1121"/>
      <c r="B26" s="727" t="s">
        <v>1577</v>
      </c>
      <c r="C26" s="770">
        <v>7130860077</v>
      </c>
      <c r="D26" s="776" t="s">
        <v>907</v>
      </c>
      <c r="E26" s="627">
        <v>11</v>
      </c>
      <c r="F26" s="750">
        <f>VLOOKUP(C26,'SOR RATE'!A:D,4,0)/1000</f>
        <v>70.43964</v>
      </c>
      <c r="G26" s="726">
        <f t="shared" si="1"/>
        <v>774.8360399999999</v>
      </c>
    </row>
    <row r="27" spans="1:7" ht="15" customHeight="1">
      <c r="A27" s="1121"/>
      <c r="B27" s="727" t="s">
        <v>1578</v>
      </c>
      <c r="C27" s="770">
        <v>7130860032</v>
      </c>
      <c r="D27" s="745" t="s">
        <v>19</v>
      </c>
      <c r="E27" s="627">
        <v>2</v>
      </c>
      <c r="F27" s="750">
        <f>VLOOKUP(C27,'SOR RATE'!A:D,4,0)</f>
        <v>441.23</v>
      </c>
      <c r="G27" s="726">
        <f t="shared" si="1"/>
        <v>882.46</v>
      </c>
    </row>
    <row r="28" spans="1:7" ht="15" customHeight="1">
      <c r="A28" s="1122"/>
      <c r="B28" s="727" t="s">
        <v>1579</v>
      </c>
      <c r="C28" s="770">
        <v>7130620013</v>
      </c>
      <c r="D28" s="775" t="s">
        <v>19</v>
      </c>
      <c r="E28" s="627">
        <v>4</v>
      </c>
      <c r="F28" s="750">
        <f>VLOOKUP(C28,'SOR RATE'!A:D,4,0)</f>
        <v>124.12</v>
      </c>
      <c r="G28" s="726">
        <f t="shared" si="1"/>
        <v>496.48</v>
      </c>
    </row>
    <row r="29" spans="1:7" ht="27" customHeight="1">
      <c r="A29" s="1120">
        <v>14</v>
      </c>
      <c r="B29" s="997" t="s">
        <v>1766</v>
      </c>
      <c r="C29" s="627"/>
      <c r="D29" s="627"/>
      <c r="E29" s="627">
        <f>1+2</f>
        <v>3</v>
      </c>
      <c r="F29" s="726"/>
      <c r="G29" s="726"/>
    </row>
    <row r="30" spans="1:9" ht="14.25" customHeight="1">
      <c r="A30" s="1122"/>
      <c r="B30" s="798" t="s">
        <v>1748</v>
      </c>
      <c r="C30" s="789">
        <v>7130640008</v>
      </c>
      <c r="D30" s="793" t="s">
        <v>926</v>
      </c>
      <c r="E30" s="627">
        <f>1+(2*2)</f>
        <v>5</v>
      </c>
      <c r="F30" s="733">
        <f>VLOOKUP(C30,'SOR RATE'!A:D,4,0)</f>
        <v>158</v>
      </c>
      <c r="G30" s="726">
        <f>E30*F30</f>
        <v>790</v>
      </c>
      <c r="H30" s="608" t="s">
        <v>1894</v>
      </c>
      <c r="I30" s="608" t="s">
        <v>1886</v>
      </c>
    </row>
    <row r="31" spans="1:9" ht="12.75">
      <c r="A31" s="534">
        <v>15</v>
      </c>
      <c r="B31" s="730" t="s">
        <v>566</v>
      </c>
      <c r="C31" s="534"/>
      <c r="D31" s="627"/>
      <c r="E31" s="627"/>
      <c r="F31" s="627"/>
      <c r="G31" s="731">
        <f>SUM(G8:G30)</f>
        <v>49198.54015</v>
      </c>
      <c r="H31" s="75"/>
      <c r="I31" s="76"/>
    </row>
    <row r="32" spans="1:9" ht="13.5" customHeight="1">
      <c r="A32" s="853">
        <v>16</v>
      </c>
      <c r="B32" s="725" t="s">
        <v>565</v>
      </c>
      <c r="C32" s="854"/>
      <c r="D32" s="855"/>
      <c r="E32" s="855"/>
      <c r="F32" s="627">
        <v>0.09</v>
      </c>
      <c r="G32" s="726">
        <f>G31*F32</f>
        <v>4427.8686135</v>
      </c>
      <c r="H32" s="75"/>
      <c r="I32" s="76"/>
    </row>
    <row r="33" spans="1:7" ht="14.25" customHeight="1">
      <c r="A33" s="748">
        <v>17</v>
      </c>
      <c r="B33" s="747" t="s">
        <v>1775</v>
      </c>
      <c r="C33" s="627"/>
      <c r="D33" s="627" t="s">
        <v>19</v>
      </c>
      <c r="E33" s="627">
        <v>1</v>
      </c>
      <c r="F33" s="998">
        <f>97*1.11*1.086275*1.1112*1.0685*1.06217*1.059*1.2778</f>
        <v>199.5970562453939</v>
      </c>
      <c r="G33" s="726">
        <f>F33*E33</f>
        <v>199.5970562453939</v>
      </c>
    </row>
    <row r="34" spans="1:8" ht="15.75" customHeight="1">
      <c r="A34" s="748">
        <v>18</v>
      </c>
      <c r="B34" s="727" t="s">
        <v>1580</v>
      </c>
      <c r="C34" s="627"/>
      <c r="D34" s="627"/>
      <c r="E34" s="627"/>
      <c r="F34" s="627"/>
      <c r="G34" s="726">
        <v>33362.06</v>
      </c>
      <c r="H34" s="542"/>
    </row>
    <row r="35" spans="1:9" ht="27.75" customHeight="1">
      <c r="A35" s="748">
        <v>19</v>
      </c>
      <c r="B35" s="727" t="s">
        <v>1379</v>
      </c>
      <c r="C35" s="627"/>
      <c r="D35" s="627"/>
      <c r="E35" s="627"/>
      <c r="F35" s="627"/>
      <c r="G35" s="733">
        <f>(4106.81*1.88%)+4106.81</f>
        <v>4184.018028</v>
      </c>
      <c r="H35" s="66"/>
      <c r="I35" s="295"/>
    </row>
    <row r="36" spans="1:8" ht="12.75">
      <c r="A36" s="534">
        <v>20</v>
      </c>
      <c r="B36" s="730" t="s">
        <v>567</v>
      </c>
      <c r="C36" s="627"/>
      <c r="D36" s="627"/>
      <c r="E36" s="627"/>
      <c r="F36" s="627"/>
      <c r="G36" s="731">
        <f>G31+G32+G33+G34+G35</f>
        <v>91372.0838477454</v>
      </c>
      <c r="H36" s="77"/>
    </row>
    <row r="37" spans="1:8" ht="27.75" customHeight="1">
      <c r="A37" s="748">
        <v>21</v>
      </c>
      <c r="B37" s="734" t="s">
        <v>1747</v>
      </c>
      <c r="C37" s="627"/>
      <c r="D37" s="627"/>
      <c r="E37" s="627"/>
      <c r="F37" s="627">
        <v>0.125</v>
      </c>
      <c r="G37" s="726">
        <f>G31*F37</f>
        <v>6149.81751875</v>
      </c>
      <c r="H37" s="577"/>
    </row>
    <row r="38" spans="1:9" s="12" customFormat="1" ht="12.75">
      <c r="A38" s="748">
        <v>22</v>
      </c>
      <c r="B38" s="771" t="s">
        <v>1581</v>
      </c>
      <c r="C38" s="748"/>
      <c r="D38" s="748"/>
      <c r="E38" s="748"/>
      <c r="F38" s="748"/>
      <c r="G38" s="772">
        <f>G36+G37</f>
        <v>97521.9013664954</v>
      </c>
      <c r="I38" s="83"/>
    </row>
    <row r="39" spans="1:7" ht="15.75" customHeight="1">
      <c r="A39" s="534">
        <v>23</v>
      </c>
      <c r="B39" s="735" t="s">
        <v>1582</v>
      </c>
      <c r="C39" s="627"/>
      <c r="D39" s="627"/>
      <c r="E39" s="627"/>
      <c r="F39" s="627"/>
      <c r="G39" s="731">
        <f>ROUND(G38,0)</f>
        <v>97522</v>
      </c>
    </row>
    <row r="40" spans="1:7" ht="12.75">
      <c r="A40" s="291"/>
      <c r="B40" s="74"/>
      <c r="C40" s="287"/>
      <c r="D40" s="285"/>
      <c r="E40" s="285"/>
      <c r="F40" s="285"/>
      <c r="G40" s="292"/>
    </row>
    <row r="41" spans="1:7" ht="14.25" customHeight="1">
      <c r="A41" s="318" t="s">
        <v>83</v>
      </c>
      <c r="B41" s="1161" t="s">
        <v>1583</v>
      </c>
      <c r="C41" s="1161"/>
      <c r="D41" s="1161"/>
      <c r="E41" s="1161"/>
      <c r="F41" s="58"/>
      <c r="G41" s="58"/>
    </row>
    <row r="42" spans="2:5" ht="29.25" customHeight="1">
      <c r="B42" s="1161" t="s">
        <v>1584</v>
      </c>
      <c r="C42" s="1161"/>
      <c r="D42" s="1161"/>
      <c r="E42" s="1161"/>
    </row>
    <row r="43" spans="1:2" ht="14.25">
      <c r="A43" s="41" t="s">
        <v>982</v>
      </c>
      <c r="B43" s="492" t="s">
        <v>1749</v>
      </c>
    </row>
  </sheetData>
  <sheetProtection/>
  <mergeCells count="8">
    <mergeCell ref="B42:E42"/>
    <mergeCell ref="B1:C1"/>
    <mergeCell ref="B3:D3"/>
    <mergeCell ref="F5:G5"/>
    <mergeCell ref="A19:A21"/>
    <mergeCell ref="A22:A28"/>
    <mergeCell ref="A29:A30"/>
    <mergeCell ref="B41:E41"/>
  </mergeCells>
  <printOptions horizontalCentered="1"/>
  <pageMargins left="1" right="0.15" top="0.72" bottom="0.3" header="0.48" footer="0.16"/>
  <pageSetup horizontalDpi="600" verticalDpi="600" orientation="landscape" paperSize="9" scale="12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37"/>
  <sheetViews>
    <sheetView zoomScale="106" zoomScaleNormal="106" zoomScaleSheetLayoutView="7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O29" sqref="O29"/>
    </sheetView>
  </sheetViews>
  <sheetFormatPr defaultColWidth="9.140625" defaultRowHeight="12.75"/>
  <cols>
    <col min="1" max="1" width="4.140625" style="540" customWidth="1"/>
    <col min="2" max="2" width="36.7109375" style="1" customWidth="1"/>
    <col min="3" max="3" width="12.140625" style="1" customWidth="1"/>
    <col min="4" max="4" width="4.57421875" style="1" bestFit="1" customWidth="1"/>
    <col min="5" max="5" width="7.28125" style="1" bestFit="1" customWidth="1"/>
    <col min="6" max="6" width="5.00390625" style="1" bestFit="1" customWidth="1"/>
    <col min="7" max="7" width="9.57421875" style="1" bestFit="1" customWidth="1"/>
    <col min="8" max="8" width="5.00390625" style="1" bestFit="1" customWidth="1"/>
    <col min="9" max="9" width="10.7109375" style="1" bestFit="1" customWidth="1"/>
    <col min="10" max="10" width="5.00390625" style="1" bestFit="1" customWidth="1"/>
    <col min="11" max="11" width="9.57421875" style="1" bestFit="1" customWidth="1"/>
    <col min="12" max="12" width="5.00390625" style="1" bestFit="1" customWidth="1"/>
    <col min="13" max="13" width="10.7109375" style="1" bestFit="1" customWidth="1"/>
    <col min="14" max="14" width="14.28125" style="1" customWidth="1"/>
    <col min="15" max="15" width="25.140625" style="1" customWidth="1"/>
    <col min="16" max="16" width="11.00390625" style="1" bestFit="1" customWidth="1"/>
    <col min="17" max="17" width="3.28125" style="1" bestFit="1" customWidth="1"/>
    <col min="18" max="18" width="4.00390625" style="1" bestFit="1" customWidth="1"/>
    <col min="19" max="16384" width="9.140625" style="1" customWidth="1"/>
  </cols>
  <sheetData>
    <row r="1" spans="2:13" ht="23.25" customHeight="1">
      <c r="B1" s="91"/>
      <c r="C1" s="1080" t="s">
        <v>1585</v>
      </c>
      <c r="D1" s="1080"/>
      <c r="E1" s="1080"/>
      <c r="F1" s="1080"/>
      <c r="G1" s="1080"/>
      <c r="H1" s="1080"/>
      <c r="I1" s="91"/>
      <c r="J1" s="91"/>
      <c r="K1" s="91"/>
      <c r="L1" s="91"/>
      <c r="M1" s="91"/>
    </row>
    <row r="2" spans="1:13" ht="19.5" customHeight="1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1070" t="s">
        <v>1823</v>
      </c>
      <c r="M2" s="1070"/>
    </row>
    <row r="3" spans="1:13" ht="17.25" customHeight="1">
      <c r="A3" s="1123" t="s">
        <v>1586</v>
      </c>
      <c r="B3" s="1123"/>
      <c r="C3" s="1123"/>
      <c r="D3" s="1123"/>
      <c r="E3" s="1123"/>
      <c r="F3" s="1123"/>
      <c r="G3" s="1123"/>
      <c r="H3" s="1123"/>
      <c r="I3" s="1123"/>
      <c r="J3" s="1123"/>
      <c r="K3" s="1123"/>
      <c r="L3" s="1123"/>
      <c r="M3" s="1123"/>
    </row>
    <row r="4" spans="1:13" ht="10.5" customHeight="1">
      <c r="A4" s="90"/>
      <c r="B4" s="11"/>
      <c r="C4" s="11"/>
      <c r="D4" s="11"/>
      <c r="E4" s="11"/>
      <c r="F4" s="11"/>
      <c r="G4" s="11"/>
      <c r="H4" s="47"/>
      <c r="I4" s="47"/>
      <c r="J4" s="47"/>
      <c r="K4" s="47"/>
      <c r="L4" s="19"/>
      <c r="M4" s="19"/>
    </row>
    <row r="5" spans="1:13" ht="51.75" customHeight="1">
      <c r="A5" s="1094" t="s">
        <v>1225</v>
      </c>
      <c r="B5" s="1094" t="s">
        <v>16</v>
      </c>
      <c r="C5" s="1094" t="s">
        <v>1587</v>
      </c>
      <c r="D5" s="1094" t="s">
        <v>17</v>
      </c>
      <c r="E5" s="1094" t="s">
        <v>309</v>
      </c>
      <c r="F5" s="1094" t="s">
        <v>1588</v>
      </c>
      <c r="G5" s="1094"/>
      <c r="H5" s="1094" t="s">
        <v>1589</v>
      </c>
      <c r="I5" s="1094"/>
      <c r="J5" s="1094" t="s">
        <v>1590</v>
      </c>
      <c r="K5" s="1094"/>
      <c r="L5" s="1094" t="s">
        <v>1591</v>
      </c>
      <c r="M5" s="1094"/>
    </row>
    <row r="6" spans="1:13" ht="12.75">
      <c r="A6" s="1094"/>
      <c r="B6" s="1094"/>
      <c r="C6" s="1094"/>
      <c r="D6" s="1094"/>
      <c r="E6" s="1094"/>
      <c r="F6" s="534" t="s">
        <v>580</v>
      </c>
      <c r="G6" s="534" t="s">
        <v>747</v>
      </c>
      <c r="H6" s="534" t="s">
        <v>580</v>
      </c>
      <c r="I6" s="534" t="s">
        <v>747</v>
      </c>
      <c r="J6" s="534" t="s">
        <v>580</v>
      </c>
      <c r="K6" s="534" t="s">
        <v>747</v>
      </c>
      <c r="L6" s="534" t="s">
        <v>580</v>
      </c>
      <c r="M6" s="534" t="s">
        <v>747</v>
      </c>
    </row>
    <row r="7" spans="1:13" ht="11.25" customHeight="1">
      <c r="A7" s="534">
        <v>1</v>
      </c>
      <c r="B7" s="534">
        <v>2</v>
      </c>
      <c r="C7" s="534">
        <v>3</v>
      </c>
      <c r="D7" s="534">
        <v>4</v>
      </c>
      <c r="E7" s="534">
        <v>5</v>
      </c>
      <c r="F7" s="534">
        <v>6</v>
      </c>
      <c r="G7" s="534">
        <v>7</v>
      </c>
      <c r="H7" s="534">
        <v>8</v>
      </c>
      <c r="I7" s="534">
        <v>9</v>
      </c>
      <c r="J7" s="534">
        <v>10</v>
      </c>
      <c r="K7" s="534">
        <v>11</v>
      </c>
      <c r="L7" s="534">
        <v>12</v>
      </c>
      <c r="M7" s="534">
        <v>13</v>
      </c>
    </row>
    <row r="8" spans="1:13" ht="12.75">
      <c r="A8" s="748">
        <v>1</v>
      </c>
      <c r="B8" s="727" t="s">
        <v>1431</v>
      </c>
      <c r="C8" s="777">
        <v>7130810413</v>
      </c>
      <c r="D8" s="281" t="s">
        <v>19</v>
      </c>
      <c r="E8" s="750">
        <f>VLOOKUP(C8,'SOR RATE'!A:D,4,0)</f>
        <v>623.86</v>
      </c>
      <c r="F8" s="627">
        <v>24</v>
      </c>
      <c r="G8" s="726">
        <f>E8*F8</f>
        <v>14972.64</v>
      </c>
      <c r="H8" s="627"/>
      <c r="I8" s="726"/>
      <c r="J8" s="627"/>
      <c r="K8" s="726"/>
      <c r="L8" s="627"/>
      <c r="M8" s="726"/>
    </row>
    <row r="9" spans="1:13" ht="12.75">
      <c r="A9" s="748">
        <v>2</v>
      </c>
      <c r="B9" s="727" t="s">
        <v>1421</v>
      </c>
      <c r="C9" s="777">
        <v>7130810441</v>
      </c>
      <c r="D9" s="281" t="s">
        <v>19</v>
      </c>
      <c r="E9" s="750">
        <f>VLOOKUP(C9,'SOR RATE'!A:D,4,0)</f>
        <v>742.99</v>
      </c>
      <c r="F9" s="627"/>
      <c r="G9" s="726"/>
      <c r="H9" s="627">
        <v>24</v>
      </c>
      <c r="I9" s="726">
        <f aca="true" t="shared" si="0" ref="I9:I23">H9*E9</f>
        <v>17831.760000000002</v>
      </c>
      <c r="J9" s="627">
        <v>24</v>
      </c>
      <c r="K9" s="726">
        <f aca="true" t="shared" si="1" ref="K9:K23">J9*E9</f>
        <v>17831.760000000002</v>
      </c>
      <c r="L9" s="627"/>
      <c r="M9" s="726"/>
    </row>
    <row r="10" spans="1:13" ht="12.75">
      <c r="A10" s="748">
        <v>3</v>
      </c>
      <c r="B10" s="727" t="s">
        <v>1592</v>
      </c>
      <c r="C10" s="789">
        <v>7130810461</v>
      </c>
      <c r="D10" s="994" t="s">
        <v>19</v>
      </c>
      <c r="E10" s="750">
        <f>VLOOKUP(C10,'SOR RATE'!A:D,4,0)</f>
        <v>862.11</v>
      </c>
      <c r="F10" s="627"/>
      <c r="G10" s="726"/>
      <c r="H10" s="627"/>
      <c r="I10" s="726"/>
      <c r="J10" s="627"/>
      <c r="K10" s="726"/>
      <c r="L10" s="627">
        <v>24</v>
      </c>
      <c r="M10" s="726">
        <f aca="true" t="shared" si="2" ref="M10:M23">L10*E10</f>
        <v>20690.64</v>
      </c>
    </row>
    <row r="11" spans="1:13" ht="12.75">
      <c r="A11" s="748">
        <v>4</v>
      </c>
      <c r="B11" s="727" t="s">
        <v>1422</v>
      </c>
      <c r="C11" s="789">
        <v>7130820106</v>
      </c>
      <c r="D11" s="999" t="s">
        <v>19</v>
      </c>
      <c r="E11" s="750">
        <f>VLOOKUP(C11,'SOR RATE'!A:D,4,0)</f>
        <v>12.82</v>
      </c>
      <c r="F11" s="627">
        <v>24</v>
      </c>
      <c r="G11" s="726">
        <f aca="true" t="shared" si="3" ref="G11:G23">E11*F11</f>
        <v>307.68</v>
      </c>
      <c r="H11" s="627">
        <v>48</v>
      </c>
      <c r="I11" s="726">
        <f t="shared" si="0"/>
        <v>615.36</v>
      </c>
      <c r="J11" s="627">
        <v>24</v>
      </c>
      <c r="K11" s="726">
        <f t="shared" si="1"/>
        <v>307.68</v>
      </c>
      <c r="L11" s="627">
        <v>48</v>
      </c>
      <c r="M11" s="726">
        <f t="shared" si="2"/>
        <v>615.36</v>
      </c>
    </row>
    <row r="12" spans="1:13" ht="15" customHeight="1">
      <c r="A12" s="748">
        <v>5</v>
      </c>
      <c r="B12" s="727" t="s">
        <v>1593</v>
      </c>
      <c r="C12" s="789">
        <v>7130820216</v>
      </c>
      <c r="D12" s="994" t="s">
        <v>19</v>
      </c>
      <c r="E12" s="750">
        <f>VLOOKUP(C12,'SOR RATE'!A:D,4,0)</f>
        <v>40.64</v>
      </c>
      <c r="F12" s="627">
        <v>8</v>
      </c>
      <c r="G12" s="726">
        <f t="shared" si="3"/>
        <v>325.12</v>
      </c>
      <c r="H12" s="627">
        <v>16</v>
      </c>
      <c r="I12" s="726">
        <f t="shared" si="0"/>
        <v>650.24</v>
      </c>
      <c r="J12" s="627">
        <v>8</v>
      </c>
      <c r="K12" s="726">
        <f t="shared" si="1"/>
        <v>325.12</v>
      </c>
      <c r="L12" s="627">
        <v>16</v>
      </c>
      <c r="M12" s="726">
        <f t="shared" si="2"/>
        <v>650.24</v>
      </c>
    </row>
    <row r="13" spans="1:13" ht="15" customHeight="1">
      <c r="A13" s="748">
        <v>6</v>
      </c>
      <c r="B13" s="727" t="s">
        <v>1594</v>
      </c>
      <c r="C13" s="728">
        <v>7130830057</v>
      </c>
      <c r="D13" s="772" t="s">
        <v>980</v>
      </c>
      <c r="E13" s="750">
        <f>VLOOKUP(C13,'SOR RATE'!A:D,4,0)/1000</f>
        <v>33.94858</v>
      </c>
      <c r="F13" s="627">
        <v>1030</v>
      </c>
      <c r="G13" s="726">
        <f t="shared" si="3"/>
        <v>34967.0374</v>
      </c>
      <c r="H13" s="627">
        <v>2060</v>
      </c>
      <c r="I13" s="726">
        <f t="shared" si="0"/>
        <v>69934.0748</v>
      </c>
      <c r="J13" s="627">
        <v>1030</v>
      </c>
      <c r="K13" s="726">
        <f t="shared" si="1"/>
        <v>34967.0374</v>
      </c>
      <c r="L13" s="627">
        <v>2060</v>
      </c>
      <c r="M13" s="726">
        <f t="shared" si="2"/>
        <v>69934.0748</v>
      </c>
    </row>
    <row r="14" spans="1:13" ht="12.75">
      <c r="A14" s="748">
        <v>7</v>
      </c>
      <c r="B14" s="727" t="s">
        <v>1405</v>
      </c>
      <c r="C14" s="789">
        <v>7130820018</v>
      </c>
      <c r="D14" s="994" t="s">
        <v>745</v>
      </c>
      <c r="E14" s="750">
        <f>VLOOKUP(C14,'SOR RATE'!A:D,4,0)</f>
        <v>4.05</v>
      </c>
      <c r="F14" s="627">
        <v>40</v>
      </c>
      <c r="G14" s="726">
        <f t="shared" si="3"/>
        <v>162</v>
      </c>
      <c r="H14" s="627">
        <v>40</v>
      </c>
      <c r="I14" s="726">
        <f t="shared" si="0"/>
        <v>162</v>
      </c>
      <c r="J14" s="627">
        <v>40</v>
      </c>
      <c r="K14" s="726">
        <f t="shared" si="1"/>
        <v>162</v>
      </c>
      <c r="L14" s="627">
        <v>40</v>
      </c>
      <c r="M14" s="726">
        <f t="shared" si="2"/>
        <v>162</v>
      </c>
    </row>
    <row r="15" spans="1:13" ht="12.75">
      <c r="A15" s="1120">
        <v>8</v>
      </c>
      <c r="B15" s="727" t="s">
        <v>1595</v>
      </c>
      <c r="C15" s="810"/>
      <c r="D15" s="811"/>
      <c r="E15" s="811"/>
      <c r="F15" s="811"/>
      <c r="G15" s="811"/>
      <c r="H15" s="811"/>
      <c r="I15" s="811"/>
      <c r="J15" s="811"/>
      <c r="K15" s="811"/>
      <c r="L15" s="811"/>
      <c r="M15" s="1000"/>
    </row>
    <row r="16" spans="1:13" ht="12.75">
      <c r="A16" s="1121"/>
      <c r="B16" s="727" t="s">
        <v>306</v>
      </c>
      <c r="C16" s="789">
        <v>7130620573</v>
      </c>
      <c r="D16" s="1001" t="s">
        <v>907</v>
      </c>
      <c r="E16" s="750">
        <f>VLOOKUP(C16,'SOR RATE'!A:D,4,0)</f>
        <v>69.38</v>
      </c>
      <c r="F16" s="627">
        <v>4</v>
      </c>
      <c r="G16" s="726">
        <f t="shared" si="3"/>
        <v>277.52</v>
      </c>
      <c r="H16" s="627">
        <v>8</v>
      </c>
      <c r="I16" s="726">
        <f t="shared" si="0"/>
        <v>555.04</v>
      </c>
      <c r="J16" s="627">
        <v>4</v>
      </c>
      <c r="K16" s="726">
        <f t="shared" si="1"/>
        <v>277.52</v>
      </c>
      <c r="L16" s="627">
        <v>8</v>
      </c>
      <c r="M16" s="726">
        <f t="shared" si="2"/>
        <v>555.04</v>
      </c>
    </row>
    <row r="17" spans="1:13" ht="12.75">
      <c r="A17" s="1121"/>
      <c r="B17" s="727" t="s">
        <v>13</v>
      </c>
      <c r="C17" s="789">
        <v>7130620609</v>
      </c>
      <c r="D17" s="1001" t="s">
        <v>907</v>
      </c>
      <c r="E17" s="750">
        <f>VLOOKUP(C17,'SOR RATE'!A:D,4,0)</f>
        <v>69.38</v>
      </c>
      <c r="F17" s="627">
        <v>4</v>
      </c>
      <c r="G17" s="726">
        <f t="shared" si="3"/>
        <v>277.52</v>
      </c>
      <c r="H17" s="627">
        <v>6</v>
      </c>
      <c r="I17" s="726">
        <f t="shared" si="0"/>
        <v>416.28</v>
      </c>
      <c r="J17" s="627">
        <v>4</v>
      </c>
      <c r="K17" s="726">
        <f t="shared" si="1"/>
        <v>277.52</v>
      </c>
      <c r="L17" s="627">
        <v>6</v>
      </c>
      <c r="M17" s="726">
        <f t="shared" si="2"/>
        <v>416.28</v>
      </c>
    </row>
    <row r="18" spans="1:13" ht="12.75">
      <c r="A18" s="1121"/>
      <c r="B18" s="727" t="s">
        <v>1228</v>
      </c>
      <c r="C18" s="789">
        <v>7130620625</v>
      </c>
      <c r="D18" s="1001" t="s">
        <v>907</v>
      </c>
      <c r="E18" s="750">
        <f>VLOOKUP(C18,'SOR RATE'!A:D,4,0)</f>
        <v>67.06</v>
      </c>
      <c r="F18" s="627">
        <v>10</v>
      </c>
      <c r="G18" s="726">
        <f t="shared" si="3"/>
        <v>670.6</v>
      </c>
      <c r="H18" s="627">
        <v>10</v>
      </c>
      <c r="I18" s="726">
        <f t="shared" si="0"/>
        <v>670.6</v>
      </c>
      <c r="J18" s="627">
        <v>10</v>
      </c>
      <c r="K18" s="726">
        <f t="shared" si="1"/>
        <v>670.6</v>
      </c>
      <c r="L18" s="627">
        <v>10</v>
      </c>
      <c r="M18" s="726">
        <f t="shared" si="2"/>
        <v>670.6</v>
      </c>
    </row>
    <row r="19" spans="1:13" ht="12.75">
      <c r="A19" s="1122"/>
      <c r="B19" s="727" t="s">
        <v>1226</v>
      </c>
      <c r="C19" s="814">
        <v>7130620614</v>
      </c>
      <c r="D19" s="1001" t="s">
        <v>907</v>
      </c>
      <c r="E19" s="750">
        <f>VLOOKUP(C19,'SOR RATE'!A:D,4,0)</f>
        <v>68.22</v>
      </c>
      <c r="F19" s="627">
        <v>6</v>
      </c>
      <c r="G19" s="726">
        <f t="shared" si="3"/>
        <v>409.32</v>
      </c>
      <c r="H19" s="627">
        <v>6</v>
      </c>
      <c r="I19" s="726">
        <f t="shared" si="0"/>
        <v>409.32</v>
      </c>
      <c r="J19" s="627">
        <v>6</v>
      </c>
      <c r="K19" s="726">
        <f t="shared" si="1"/>
        <v>409.32</v>
      </c>
      <c r="L19" s="627">
        <v>6</v>
      </c>
      <c r="M19" s="726">
        <f t="shared" si="2"/>
        <v>409.32</v>
      </c>
    </row>
    <row r="20" spans="1:13" ht="12.75">
      <c r="A20" s="627">
        <v>9</v>
      </c>
      <c r="B20" s="727" t="s">
        <v>832</v>
      </c>
      <c r="C20" s="789">
        <v>7130211158</v>
      </c>
      <c r="D20" s="994" t="s">
        <v>905</v>
      </c>
      <c r="E20" s="750">
        <f>VLOOKUP(C20,'SOR RATE'!A:D,4,0)</f>
        <v>146.77</v>
      </c>
      <c r="F20" s="627">
        <v>1</v>
      </c>
      <c r="G20" s="726">
        <f t="shared" si="3"/>
        <v>146.77</v>
      </c>
      <c r="H20" s="627">
        <v>1</v>
      </c>
      <c r="I20" s="726">
        <f t="shared" si="0"/>
        <v>146.77</v>
      </c>
      <c r="J20" s="627">
        <v>1</v>
      </c>
      <c r="K20" s="726">
        <f t="shared" si="1"/>
        <v>146.77</v>
      </c>
      <c r="L20" s="627">
        <v>1</v>
      </c>
      <c r="M20" s="726">
        <f t="shared" si="2"/>
        <v>146.77</v>
      </c>
    </row>
    <row r="21" spans="1:13" ht="12.75">
      <c r="A21" s="627">
        <v>10</v>
      </c>
      <c r="B21" s="727" t="s">
        <v>1093</v>
      </c>
      <c r="C21" s="789">
        <v>7130210809</v>
      </c>
      <c r="D21" s="994" t="s">
        <v>905</v>
      </c>
      <c r="E21" s="750">
        <f>VLOOKUP(C21,'SOR RATE'!A:D,4,0)</f>
        <v>327.94</v>
      </c>
      <c r="F21" s="627">
        <v>1</v>
      </c>
      <c r="G21" s="726">
        <f t="shared" si="3"/>
        <v>327.94</v>
      </c>
      <c r="H21" s="627">
        <v>1</v>
      </c>
      <c r="I21" s="726">
        <f t="shared" si="0"/>
        <v>327.94</v>
      </c>
      <c r="J21" s="627">
        <v>1</v>
      </c>
      <c r="K21" s="726">
        <f t="shared" si="1"/>
        <v>327.94</v>
      </c>
      <c r="L21" s="627">
        <v>1</v>
      </c>
      <c r="M21" s="726">
        <f t="shared" si="2"/>
        <v>327.94</v>
      </c>
    </row>
    <row r="22" spans="1:13" ht="12.75">
      <c r="A22" s="627">
        <v>11</v>
      </c>
      <c r="B22" s="727" t="s">
        <v>1447</v>
      </c>
      <c r="C22" s="789">
        <v>7130870043</v>
      </c>
      <c r="D22" s="994" t="s">
        <v>907</v>
      </c>
      <c r="E22" s="750">
        <f>VLOOKUP(C22,'SOR RATE'!A:D,4,0)/1000</f>
        <v>62.99996</v>
      </c>
      <c r="F22" s="627">
        <v>6</v>
      </c>
      <c r="G22" s="726">
        <f t="shared" si="3"/>
        <v>377.99976000000004</v>
      </c>
      <c r="H22" s="627">
        <v>7.5</v>
      </c>
      <c r="I22" s="726">
        <f t="shared" si="0"/>
        <v>472.4997</v>
      </c>
      <c r="J22" s="627">
        <v>7.5</v>
      </c>
      <c r="K22" s="726">
        <f t="shared" si="1"/>
        <v>472.4997</v>
      </c>
      <c r="L22" s="627">
        <v>7.5</v>
      </c>
      <c r="M22" s="726">
        <f t="shared" si="2"/>
        <v>472.4997</v>
      </c>
    </row>
    <row r="23" spans="1:13" ht="27.75" customHeight="1">
      <c r="A23" s="627">
        <v>12</v>
      </c>
      <c r="B23" s="727" t="s">
        <v>1596</v>
      </c>
      <c r="C23" s="728">
        <v>7130810216</v>
      </c>
      <c r="D23" s="793" t="s">
        <v>745</v>
      </c>
      <c r="E23" s="750">
        <f>VLOOKUP(C23,'SOR RATE'!A:D,4,0)</f>
        <v>309.8</v>
      </c>
      <c r="F23" s="627">
        <v>20</v>
      </c>
      <c r="G23" s="726">
        <f t="shared" si="3"/>
        <v>6196</v>
      </c>
      <c r="H23" s="627">
        <v>20</v>
      </c>
      <c r="I23" s="726">
        <f t="shared" si="0"/>
        <v>6196</v>
      </c>
      <c r="J23" s="627">
        <v>20</v>
      </c>
      <c r="K23" s="726">
        <f t="shared" si="1"/>
        <v>6196</v>
      </c>
      <c r="L23" s="627">
        <v>20</v>
      </c>
      <c r="M23" s="726">
        <f t="shared" si="2"/>
        <v>6196</v>
      </c>
    </row>
    <row r="24" spans="1:15" ht="12.75">
      <c r="A24" s="534">
        <v>13</v>
      </c>
      <c r="B24" s="730" t="s">
        <v>566</v>
      </c>
      <c r="C24" s="328"/>
      <c r="D24" s="627"/>
      <c r="E24" s="726"/>
      <c r="F24" s="627"/>
      <c r="G24" s="731">
        <f>SUM(G8:G23)</f>
        <v>59418.14715999999</v>
      </c>
      <c r="H24" s="731"/>
      <c r="I24" s="731">
        <f>SUM(I8:I23)</f>
        <v>98387.88450000001</v>
      </c>
      <c r="J24" s="731"/>
      <c r="K24" s="731">
        <f>SUM(K8:K23)</f>
        <v>62371.76709999999</v>
      </c>
      <c r="L24" s="731"/>
      <c r="M24" s="731">
        <f>SUM(M8:M23)</f>
        <v>101246.76450000002</v>
      </c>
      <c r="N24" s="75"/>
      <c r="O24" s="76"/>
    </row>
    <row r="25" spans="1:15" ht="14.25" customHeight="1">
      <c r="A25" s="627">
        <v>14</v>
      </c>
      <c r="B25" s="725" t="s">
        <v>565</v>
      </c>
      <c r="C25" s="857"/>
      <c r="D25" s="858"/>
      <c r="E25" s="748">
        <v>0.09</v>
      </c>
      <c r="F25" s="748"/>
      <c r="G25" s="772">
        <f>G24*E25</f>
        <v>5347.633244399999</v>
      </c>
      <c r="H25" s="772"/>
      <c r="I25" s="772">
        <f>I24*E25</f>
        <v>8854.909605</v>
      </c>
      <c r="J25" s="772"/>
      <c r="K25" s="772">
        <f>K24*E25</f>
        <v>5613.4590389999985</v>
      </c>
      <c r="L25" s="772"/>
      <c r="M25" s="772">
        <f>M24*E25</f>
        <v>9112.208805000002</v>
      </c>
      <c r="N25" s="75"/>
      <c r="O25" s="76"/>
    </row>
    <row r="26" spans="1:14" ht="15" customHeight="1">
      <c r="A26" s="627">
        <v>15</v>
      </c>
      <c r="B26" s="794" t="s">
        <v>1597</v>
      </c>
      <c r="C26" s="534"/>
      <c r="D26" s="627"/>
      <c r="E26" s="627"/>
      <c r="F26" s="627"/>
      <c r="G26" s="726">
        <v>13553.88</v>
      </c>
      <c r="H26" s="726"/>
      <c r="I26" s="726">
        <v>19675.36</v>
      </c>
      <c r="J26" s="726"/>
      <c r="K26" s="726">
        <v>13553.88</v>
      </c>
      <c r="L26" s="726"/>
      <c r="M26" s="726">
        <v>19675.36</v>
      </c>
      <c r="N26" s="18"/>
    </row>
    <row r="27" spans="1:15" ht="15" customHeight="1">
      <c r="A27" s="627">
        <v>16</v>
      </c>
      <c r="B27" s="794" t="s">
        <v>1598</v>
      </c>
      <c r="C27" s="534"/>
      <c r="D27" s="627"/>
      <c r="E27" s="627"/>
      <c r="F27" s="627"/>
      <c r="G27" s="618">
        <f>(3285.45*1.88%)+3285.45</f>
        <v>3347.2164599999996</v>
      </c>
      <c r="H27" s="726"/>
      <c r="I27" s="618">
        <f>(3901.47*1.88%)+3901.47</f>
        <v>3974.8176359999998</v>
      </c>
      <c r="J27" s="726"/>
      <c r="K27" s="618">
        <f>(3285.45*1.88%)+3285.45</f>
        <v>3347.2164599999996</v>
      </c>
      <c r="L27" s="726"/>
      <c r="M27" s="733">
        <f>(3901.47*1.88%)+3901.47</f>
        <v>3974.8176359999998</v>
      </c>
      <c r="N27" s="66"/>
      <c r="O27" s="295"/>
    </row>
    <row r="28" spans="1:14" ht="12.75" customHeight="1">
      <c r="A28" s="534">
        <v>17</v>
      </c>
      <c r="B28" s="730" t="s">
        <v>567</v>
      </c>
      <c r="C28" s="328"/>
      <c r="D28" s="627"/>
      <c r="E28" s="627"/>
      <c r="F28" s="627"/>
      <c r="G28" s="731">
        <f>G24+G25+G26+G27</f>
        <v>81666.8768644</v>
      </c>
      <c r="H28" s="731"/>
      <c r="I28" s="731">
        <f>I24+I25+I26+I27</f>
        <v>130892.97174100002</v>
      </c>
      <c r="J28" s="731"/>
      <c r="K28" s="731">
        <f>K24+K25+K26+K27</f>
        <v>84886.32259899999</v>
      </c>
      <c r="L28" s="731"/>
      <c r="M28" s="731">
        <f>M24+M25+M26+M27</f>
        <v>134009.15094100003</v>
      </c>
      <c r="N28" s="77"/>
    </row>
    <row r="29" spans="1:14" ht="42" customHeight="1">
      <c r="A29" s="627">
        <v>18</v>
      </c>
      <c r="B29" s="734" t="s">
        <v>1747</v>
      </c>
      <c r="C29" s="328"/>
      <c r="D29" s="627"/>
      <c r="E29" s="627">
        <v>0.125</v>
      </c>
      <c r="F29" s="627"/>
      <c r="G29" s="726">
        <f>G24*E29</f>
        <v>7427.268394999999</v>
      </c>
      <c r="H29" s="726"/>
      <c r="I29" s="726">
        <f>I24*E29</f>
        <v>12298.485562500002</v>
      </c>
      <c r="J29" s="726"/>
      <c r="K29" s="726">
        <f>K24*E29</f>
        <v>7796.470887499999</v>
      </c>
      <c r="L29" s="726"/>
      <c r="M29" s="726">
        <f>M24*E29</f>
        <v>12655.845562500002</v>
      </c>
      <c r="N29" s="577"/>
    </row>
    <row r="30" spans="1:15" s="16" customFormat="1" ht="15" customHeight="1">
      <c r="A30" s="748">
        <v>19</v>
      </c>
      <c r="B30" s="794" t="s">
        <v>81</v>
      </c>
      <c r="C30" s="778"/>
      <c r="D30" s="813"/>
      <c r="E30" s="813"/>
      <c r="F30" s="813"/>
      <c r="G30" s="772">
        <f>G28+G29</f>
        <v>89094.14525939999</v>
      </c>
      <c r="H30" s="772"/>
      <c r="I30" s="772">
        <f>I28+I29</f>
        <v>143191.4573035</v>
      </c>
      <c r="J30" s="772"/>
      <c r="K30" s="772">
        <f>K28+K29</f>
        <v>92682.79348649998</v>
      </c>
      <c r="L30" s="772"/>
      <c r="M30" s="772">
        <f>M28+M29</f>
        <v>146664.99650350004</v>
      </c>
      <c r="O30" s="462"/>
    </row>
    <row r="31" spans="1:13" ht="16.5" customHeight="1">
      <c r="A31" s="799">
        <v>20</v>
      </c>
      <c r="B31" s="1002" t="s">
        <v>1599</v>
      </c>
      <c r="C31" s="328"/>
      <c r="D31" s="627"/>
      <c r="E31" s="627"/>
      <c r="F31" s="627"/>
      <c r="G31" s="800">
        <f>ROUND(G30,0)</f>
        <v>89094</v>
      </c>
      <c r="H31" s="800"/>
      <c r="I31" s="800">
        <f>ROUND(I30,0)</f>
        <v>143191</v>
      </c>
      <c r="J31" s="800"/>
      <c r="K31" s="800">
        <f>ROUND(K30,0)</f>
        <v>92683</v>
      </c>
      <c r="L31" s="800"/>
      <c r="M31" s="800">
        <f>ROUND(M30,0)</f>
        <v>146665</v>
      </c>
    </row>
    <row r="32" spans="1:13" ht="12.75">
      <c r="A32" s="33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</row>
    <row r="33" spans="1:13" ht="12.75">
      <c r="A33" s="90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</row>
    <row r="34" spans="1:13" ht="12.75">
      <c r="A34" s="90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</row>
    <row r="35" spans="1:13" ht="12.75">
      <c r="A35" s="90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</row>
    <row r="36" spans="1:13" ht="12.75">
      <c r="A36" s="90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</row>
    <row r="37" spans="1:13" ht="12.75">
      <c r="A37" s="90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</row>
  </sheetData>
  <sheetProtection/>
  <mergeCells count="13">
    <mergeCell ref="D5:D6"/>
    <mergeCell ref="E5:E6"/>
    <mergeCell ref="F5:G5"/>
    <mergeCell ref="H5:I5"/>
    <mergeCell ref="J5:K5"/>
    <mergeCell ref="L5:M5"/>
    <mergeCell ref="A15:A19"/>
    <mergeCell ref="C1:H1"/>
    <mergeCell ref="L2:M2"/>
    <mergeCell ref="A3:M3"/>
    <mergeCell ref="A5:A6"/>
    <mergeCell ref="B5:B6"/>
    <mergeCell ref="C5:C6"/>
  </mergeCells>
  <printOptions horizontalCentered="1"/>
  <pageMargins left="0.61" right="0" top="0.56" bottom="0.2" header="0.38" footer="0.15"/>
  <pageSetup horizontalDpi="600" verticalDpi="600" orientation="landscape" paperSize="9" scale="105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H45" sqref="H45"/>
    </sheetView>
  </sheetViews>
  <sheetFormatPr defaultColWidth="9.140625" defaultRowHeight="12.75"/>
  <cols>
    <col min="1" max="1" width="4.57421875" style="540" customWidth="1"/>
    <col min="2" max="2" width="74.140625" style="1" customWidth="1"/>
    <col min="3" max="3" width="13.421875" style="1" customWidth="1"/>
    <col min="4" max="4" width="6.140625" style="1" customWidth="1"/>
    <col min="5" max="5" width="6.57421875" style="1" customWidth="1"/>
    <col min="6" max="6" width="9.7109375" style="1" customWidth="1"/>
    <col min="7" max="7" width="12.57421875" style="1" customWidth="1"/>
    <col min="8" max="8" width="21.140625" style="1" customWidth="1"/>
    <col min="9" max="9" width="20.7109375" style="1" bestFit="1" customWidth="1"/>
    <col min="10" max="10" width="11.00390625" style="1" bestFit="1" customWidth="1"/>
    <col min="11" max="11" width="3.28125" style="1" bestFit="1" customWidth="1"/>
    <col min="12" max="12" width="3.00390625" style="1" bestFit="1" customWidth="1"/>
    <col min="13" max="13" width="4.00390625" style="1" bestFit="1" customWidth="1"/>
    <col min="14" max="16384" width="9.140625" style="1" customWidth="1"/>
  </cols>
  <sheetData>
    <row r="1" spans="1:7" ht="18" customHeight="1">
      <c r="A1" s="541"/>
      <c r="B1" s="1080" t="s">
        <v>1600</v>
      </c>
      <c r="C1" s="1080"/>
      <c r="D1" s="463"/>
      <c r="E1" s="463"/>
      <c r="F1" s="463"/>
      <c r="G1" s="463"/>
    </row>
    <row r="2" spans="1:7" ht="15.75" customHeight="1">
      <c r="A2" s="80"/>
      <c r="B2" s="463"/>
      <c r="C2" s="463"/>
      <c r="D2" s="463"/>
      <c r="E2" s="463"/>
      <c r="F2" s="1159" t="s">
        <v>1823</v>
      </c>
      <c r="G2" s="1159"/>
    </row>
    <row r="3" spans="2:7" ht="16.5" customHeight="1">
      <c r="B3" s="1070" t="s">
        <v>1601</v>
      </c>
      <c r="C3" s="1070"/>
      <c r="D3" s="1070"/>
      <c r="E3" s="1070"/>
      <c r="F3" s="1070"/>
      <c r="G3" s="58"/>
    </row>
    <row r="4" spans="1:5" ht="9.75" customHeight="1">
      <c r="A4" s="557"/>
      <c r="B4" s="58"/>
      <c r="C4" s="58"/>
      <c r="D4" s="58"/>
      <c r="E4" s="58"/>
    </row>
    <row r="5" spans="1:7" ht="30">
      <c r="A5" s="526" t="s">
        <v>1225</v>
      </c>
      <c r="B5" s="545" t="s">
        <v>16</v>
      </c>
      <c r="C5" s="526" t="s">
        <v>1377</v>
      </c>
      <c r="D5" s="526" t="s">
        <v>17</v>
      </c>
      <c r="E5" s="526" t="s">
        <v>580</v>
      </c>
      <c r="F5" s="526" t="s">
        <v>1602</v>
      </c>
      <c r="G5" s="526" t="s">
        <v>747</v>
      </c>
    </row>
    <row r="6" spans="1:7" ht="15">
      <c r="A6" s="522">
        <v>1</v>
      </c>
      <c r="B6" s="526">
        <v>2</v>
      </c>
      <c r="C6" s="526">
        <v>3</v>
      </c>
      <c r="D6" s="544">
        <v>4</v>
      </c>
      <c r="E6" s="526">
        <v>5</v>
      </c>
      <c r="F6" s="526">
        <v>6</v>
      </c>
      <c r="G6" s="526">
        <v>7</v>
      </c>
    </row>
    <row r="7" spans="1:7" ht="18" customHeight="1">
      <c r="A7" s="554">
        <v>1</v>
      </c>
      <c r="B7" s="274" t="s">
        <v>1603</v>
      </c>
      <c r="C7" s="754">
        <v>7130800012</v>
      </c>
      <c r="D7" s="862" t="s">
        <v>19</v>
      </c>
      <c r="E7" s="576">
        <v>1</v>
      </c>
      <c r="F7" s="275">
        <f>VLOOKUP(C7,'SOR RATE'!A:D,4,0)</f>
        <v>2255.2</v>
      </c>
      <c r="G7" s="571">
        <f>F7*E7</f>
        <v>2255.2</v>
      </c>
    </row>
    <row r="8" spans="1:7" ht="14.25">
      <c r="A8" s="554">
        <f>A7+1</f>
        <v>2</v>
      </c>
      <c r="B8" s="274" t="s">
        <v>1570</v>
      </c>
      <c r="C8" s="754">
        <v>7130810495</v>
      </c>
      <c r="D8" s="496" t="s">
        <v>19</v>
      </c>
      <c r="E8" s="576">
        <v>22</v>
      </c>
      <c r="F8" s="275">
        <f>VLOOKUP(C8,'SOR RATE'!A:D,4,0)</f>
        <v>1057.95</v>
      </c>
      <c r="G8" s="571">
        <f aca="true" t="shared" si="0" ref="G8:G31">F8*E8</f>
        <v>23274.9</v>
      </c>
    </row>
    <row r="9" spans="1:7" ht="14.25">
      <c r="A9" s="554">
        <f>A8+1</f>
        <v>3</v>
      </c>
      <c r="B9" s="274" t="s">
        <v>1604</v>
      </c>
      <c r="C9" s="754">
        <v>7130810679</v>
      </c>
      <c r="D9" s="496" t="s">
        <v>19</v>
      </c>
      <c r="E9" s="576">
        <v>22</v>
      </c>
      <c r="F9" s="275">
        <f>VLOOKUP(C9,'SOR RATE'!A:D,4,0)</f>
        <v>296.79</v>
      </c>
      <c r="G9" s="571">
        <f t="shared" si="0"/>
        <v>6529.38</v>
      </c>
    </row>
    <row r="10" spans="1:7" ht="15.75" customHeight="1">
      <c r="A10" s="554">
        <f>A9+1</f>
        <v>4</v>
      </c>
      <c r="B10" s="274" t="s">
        <v>1571</v>
      </c>
      <c r="C10" s="754">
        <v>7130870013</v>
      </c>
      <c r="D10" s="1003" t="s">
        <v>19</v>
      </c>
      <c r="E10" s="576">
        <v>22</v>
      </c>
      <c r="F10" s="275">
        <f>VLOOKUP(C10,'SOR RATE'!A:D,4,0)</f>
        <v>114.85</v>
      </c>
      <c r="G10" s="571">
        <f t="shared" si="0"/>
        <v>2526.7</v>
      </c>
    </row>
    <row r="11" spans="1:10" ht="14.25">
      <c r="A11" s="554">
        <f>A10+1</f>
        <v>5</v>
      </c>
      <c r="B11" s="279" t="s">
        <v>722</v>
      </c>
      <c r="C11" s="768">
        <v>7130820008</v>
      </c>
      <c r="D11" s="496" t="s">
        <v>19</v>
      </c>
      <c r="E11" s="576">
        <v>66</v>
      </c>
      <c r="F11" s="275">
        <f>VLOOKUP(C11,'SOR RATE'!A:D,4,0)</f>
        <v>142.14</v>
      </c>
      <c r="G11" s="571">
        <f t="shared" si="0"/>
        <v>9381.24</v>
      </c>
      <c r="I11" s="79"/>
      <c r="J11" s="79"/>
    </row>
    <row r="12" spans="1:7" ht="17.25" customHeight="1">
      <c r="A12" s="554">
        <v>6</v>
      </c>
      <c r="B12" s="1004" t="s">
        <v>1605</v>
      </c>
      <c r="C12" s="616">
        <v>7130830854</v>
      </c>
      <c r="D12" s="552" t="s">
        <v>19</v>
      </c>
      <c r="E12" s="554">
        <v>6</v>
      </c>
      <c r="F12" s="275">
        <f>VLOOKUP(C12,'SOR RATE'!A:D,4,0)</f>
        <v>29.14</v>
      </c>
      <c r="G12" s="571">
        <f t="shared" si="0"/>
        <v>174.84</v>
      </c>
    </row>
    <row r="13" spans="1:7" ht="14.25">
      <c r="A13" s="554">
        <v>7</v>
      </c>
      <c r="B13" s="274" t="s">
        <v>832</v>
      </c>
      <c r="C13" s="754">
        <v>7130211158</v>
      </c>
      <c r="D13" s="496" t="s">
        <v>905</v>
      </c>
      <c r="E13" s="554">
        <v>3</v>
      </c>
      <c r="F13" s="275">
        <f>VLOOKUP(C13,'SOR RATE'!A:D,4,0)</f>
        <v>146.77</v>
      </c>
      <c r="G13" s="571">
        <f t="shared" si="0"/>
        <v>440.31000000000006</v>
      </c>
    </row>
    <row r="14" spans="1:7" ht="14.25">
      <c r="A14" s="554">
        <v>8</v>
      </c>
      <c r="B14" s="274" t="s">
        <v>1093</v>
      </c>
      <c r="C14" s="754">
        <v>7130210809</v>
      </c>
      <c r="D14" s="496" t="s">
        <v>905</v>
      </c>
      <c r="E14" s="554">
        <v>3</v>
      </c>
      <c r="F14" s="275">
        <f>VLOOKUP(C14,'SOR RATE'!A:D,4,0)</f>
        <v>327.94</v>
      </c>
      <c r="G14" s="571">
        <f t="shared" si="0"/>
        <v>983.8199999999999</v>
      </c>
    </row>
    <row r="15" spans="1:9" ht="16.5" customHeight="1">
      <c r="A15" s="554">
        <v>9</v>
      </c>
      <c r="B15" s="61" t="s">
        <v>1351</v>
      </c>
      <c r="C15" s="62">
        <v>7130610206</v>
      </c>
      <c r="D15" s="496" t="s">
        <v>907</v>
      </c>
      <c r="E15" s="554">
        <v>22</v>
      </c>
      <c r="F15" s="275">
        <f>VLOOKUP(C15,'SOR RATE'!A:D,4,0)/1000</f>
        <v>76.07503</v>
      </c>
      <c r="G15" s="571">
        <f t="shared" si="0"/>
        <v>1673.65066</v>
      </c>
      <c r="H15" s="56"/>
      <c r="I15" s="25"/>
    </row>
    <row r="16" spans="1:7" ht="14.25">
      <c r="A16" s="554">
        <v>10</v>
      </c>
      <c r="B16" s="274" t="s">
        <v>445</v>
      </c>
      <c r="C16" s="754">
        <v>7130880041</v>
      </c>
      <c r="D16" s="496" t="s">
        <v>19</v>
      </c>
      <c r="E16" s="554">
        <v>22</v>
      </c>
      <c r="F16" s="275">
        <f>VLOOKUP(C16,'SOR RATE'!A:D,4,0)</f>
        <v>89.74</v>
      </c>
      <c r="G16" s="571">
        <f t="shared" si="0"/>
        <v>1974.28</v>
      </c>
    </row>
    <row r="17" spans="1:7" ht="14.25">
      <c r="A17" s="554">
        <v>11</v>
      </c>
      <c r="B17" s="274" t="s">
        <v>1606</v>
      </c>
      <c r="C17" s="754">
        <v>7130830006</v>
      </c>
      <c r="D17" s="496" t="s">
        <v>907</v>
      </c>
      <c r="E17" s="554">
        <v>5</v>
      </c>
      <c r="F17" s="275">
        <f>VLOOKUP(C17,'SOR RATE'!A:D,4,0)</f>
        <v>155.45</v>
      </c>
      <c r="G17" s="571">
        <f t="shared" si="0"/>
        <v>777.25</v>
      </c>
    </row>
    <row r="18" spans="1:7" ht="14.25">
      <c r="A18" s="1103">
        <v>12</v>
      </c>
      <c r="B18" s="274" t="s">
        <v>1607</v>
      </c>
      <c r="C18" s="720"/>
      <c r="D18" s="721"/>
      <c r="E18" s="721"/>
      <c r="F18" s="721"/>
      <c r="G18" s="722"/>
    </row>
    <row r="19" spans="1:7" ht="14.25">
      <c r="A19" s="1104"/>
      <c r="B19" s="274" t="s">
        <v>1227</v>
      </c>
      <c r="C19" s="754">
        <v>7130620619</v>
      </c>
      <c r="D19" s="724" t="s">
        <v>907</v>
      </c>
      <c r="E19" s="554">
        <v>2</v>
      </c>
      <c r="F19" s="275">
        <f>VLOOKUP(C19,'SOR RATE'!A:D,4,0)</f>
        <v>68.22</v>
      </c>
      <c r="G19" s="571">
        <f t="shared" si="0"/>
        <v>136.44</v>
      </c>
    </row>
    <row r="20" spans="1:7" ht="14.25">
      <c r="A20" s="1095"/>
      <c r="B20" s="274" t="s">
        <v>1229</v>
      </c>
      <c r="C20" s="754">
        <v>7130620627</v>
      </c>
      <c r="D20" s="724" t="s">
        <v>907</v>
      </c>
      <c r="E20" s="554">
        <v>17</v>
      </c>
      <c r="F20" s="275">
        <f>VLOOKUP(C20,'SOR RATE'!A:D,4,0)</f>
        <v>67.06</v>
      </c>
      <c r="G20" s="571">
        <f t="shared" si="0"/>
        <v>1140.02</v>
      </c>
    </row>
    <row r="21" spans="1:7" ht="14.25">
      <c r="A21" s="1103">
        <v>13</v>
      </c>
      <c r="B21" s="274" t="s">
        <v>447</v>
      </c>
      <c r="C21" s="720"/>
      <c r="D21" s="721"/>
      <c r="E21" s="721"/>
      <c r="F21" s="721"/>
      <c r="G21" s="722"/>
    </row>
    <row r="22" spans="1:9" ht="14.25">
      <c r="A22" s="1104"/>
      <c r="B22" s="274" t="s">
        <v>1575</v>
      </c>
      <c r="C22" s="754">
        <v>7130810511</v>
      </c>
      <c r="D22" s="496" t="s">
        <v>19</v>
      </c>
      <c r="E22" s="554">
        <v>12</v>
      </c>
      <c r="F22" s="275">
        <f>VLOOKUP(C22,'SOR RATE'!A:D,4,0)</f>
        <v>2508.6</v>
      </c>
      <c r="G22" s="571">
        <f t="shared" si="0"/>
        <v>30103.199999999997</v>
      </c>
      <c r="I22" s="26"/>
    </row>
    <row r="23" spans="1:7" ht="14.25">
      <c r="A23" s="1104"/>
      <c r="B23" s="274" t="s">
        <v>719</v>
      </c>
      <c r="C23" s="754">
        <v>7130870043</v>
      </c>
      <c r="D23" s="496" t="s">
        <v>907</v>
      </c>
      <c r="E23" s="554">
        <v>441</v>
      </c>
      <c r="F23" s="275">
        <f>VLOOKUP(C23,'SOR RATE'!A:D,4,0)/1000</f>
        <v>62.99996</v>
      </c>
      <c r="G23" s="571">
        <f t="shared" si="0"/>
        <v>27782.98236</v>
      </c>
    </row>
    <row r="24" spans="1:7" ht="14.25">
      <c r="A24" s="1104"/>
      <c r="B24" s="274" t="s">
        <v>1608</v>
      </c>
      <c r="C24" s="1005">
        <v>7130810026</v>
      </c>
      <c r="D24" s="496" t="s">
        <v>19</v>
      </c>
      <c r="E24" s="554">
        <v>2</v>
      </c>
      <c r="F24" s="275">
        <f>VLOOKUP(C24,'SOR RATE'!A183:D183,4,0)</f>
        <v>291.13</v>
      </c>
      <c r="G24" s="571">
        <f t="shared" si="0"/>
        <v>582.26</v>
      </c>
    </row>
    <row r="25" spans="1:7" ht="14.25">
      <c r="A25" s="1104"/>
      <c r="B25" s="274" t="s">
        <v>1609</v>
      </c>
      <c r="C25" s="754">
        <v>7130860077</v>
      </c>
      <c r="D25" s="764" t="s">
        <v>907</v>
      </c>
      <c r="E25" s="554">
        <v>11</v>
      </c>
      <c r="F25" s="275">
        <f>VLOOKUP(C25,'SOR RATE'!A:D,4,0)/1000</f>
        <v>70.43964</v>
      </c>
      <c r="G25" s="571">
        <f t="shared" si="0"/>
        <v>774.8360399999999</v>
      </c>
    </row>
    <row r="26" spans="1:7" ht="14.25">
      <c r="A26" s="1104"/>
      <c r="B26" s="274" t="s">
        <v>1578</v>
      </c>
      <c r="C26" s="754">
        <v>7130860032</v>
      </c>
      <c r="D26" s="496" t="s">
        <v>19</v>
      </c>
      <c r="E26" s="554">
        <v>2</v>
      </c>
      <c r="F26" s="275">
        <f>VLOOKUP(C26,'SOR RATE'!A:D,4,0)</f>
        <v>441.23</v>
      </c>
      <c r="G26" s="571">
        <f t="shared" si="0"/>
        <v>882.46</v>
      </c>
    </row>
    <row r="27" spans="1:7" ht="14.25">
      <c r="A27" s="1095"/>
      <c r="B27" s="274" t="s">
        <v>1610</v>
      </c>
      <c r="C27" s="754">
        <v>7130620013</v>
      </c>
      <c r="D27" s="842" t="s">
        <v>749</v>
      </c>
      <c r="E27" s="554">
        <v>4</v>
      </c>
      <c r="F27" s="275">
        <f>VLOOKUP(C27,'SOR RATE'!A:D,4,0)</f>
        <v>124.12</v>
      </c>
      <c r="G27" s="571">
        <f t="shared" si="0"/>
        <v>496.48</v>
      </c>
    </row>
    <row r="28" spans="1:7" ht="30.75" customHeight="1">
      <c r="A28" s="1103">
        <v>14</v>
      </c>
      <c r="B28" s="756" t="s">
        <v>1766</v>
      </c>
      <c r="C28" s="554"/>
      <c r="D28" s="554"/>
      <c r="E28" s="554">
        <f>1+2</f>
        <v>3</v>
      </c>
      <c r="F28" s="571"/>
      <c r="G28" s="571"/>
    </row>
    <row r="29" spans="1:9" ht="16.5" customHeight="1">
      <c r="A29" s="1095"/>
      <c r="B29" s="502" t="s">
        <v>1758</v>
      </c>
      <c r="C29" s="754">
        <v>7130640008</v>
      </c>
      <c r="D29" s="496" t="s">
        <v>926</v>
      </c>
      <c r="E29" s="554">
        <f>1+(2*2)</f>
        <v>5</v>
      </c>
      <c r="F29" s="275">
        <f>VLOOKUP(C29,'SOR RATE'!A:D,4,0)</f>
        <v>158</v>
      </c>
      <c r="G29" s="571">
        <f>F29*E29</f>
        <v>790</v>
      </c>
      <c r="H29" s="608" t="s">
        <v>1894</v>
      </c>
      <c r="I29" s="608" t="s">
        <v>1886</v>
      </c>
    </row>
    <row r="30" spans="1:7" ht="15.75" customHeight="1">
      <c r="A30" s="554">
        <v>15</v>
      </c>
      <c r="B30" s="274" t="s">
        <v>1611</v>
      </c>
      <c r="C30" s="554">
        <v>7130311008</v>
      </c>
      <c r="D30" s="554" t="s">
        <v>750</v>
      </c>
      <c r="E30" s="554">
        <v>2104</v>
      </c>
      <c r="F30" s="275">
        <f>VLOOKUP(C30,'SOR RATE'!A:D,4,0)/1000</f>
        <v>18.17464</v>
      </c>
      <c r="G30" s="571">
        <f t="shared" si="0"/>
        <v>38239.44256</v>
      </c>
    </row>
    <row r="31" spans="1:7" ht="15.75" customHeight="1">
      <c r="A31" s="554">
        <v>16</v>
      </c>
      <c r="B31" s="274" t="s">
        <v>1612</v>
      </c>
      <c r="C31" s="754">
        <v>7130830053</v>
      </c>
      <c r="D31" s="862" t="s">
        <v>980</v>
      </c>
      <c r="E31" s="554">
        <v>1030</v>
      </c>
      <c r="F31" s="275">
        <f>VLOOKUP(C31,'SOR RATE'!A:D,4,0)/1000</f>
        <v>14.0663</v>
      </c>
      <c r="G31" s="571">
        <f t="shared" si="0"/>
        <v>14488.289</v>
      </c>
    </row>
    <row r="32" spans="1:8" ht="15">
      <c r="A32" s="526">
        <v>17</v>
      </c>
      <c r="B32" s="277" t="s">
        <v>566</v>
      </c>
      <c r="C32" s="526"/>
      <c r="D32" s="554"/>
      <c r="E32" s="554"/>
      <c r="F32" s="554"/>
      <c r="G32" s="543">
        <f>SUM(G7:G31)</f>
        <v>165407.98062</v>
      </c>
      <c r="H32" s="53"/>
    </row>
    <row r="33" spans="1:9" ht="16.5" customHeight="1">
      <c r="A33" s="552">
        <v>18</v>
      </c>
      <c r="B33" s="61" t="s">
        <v>565</v>
      </c>
      <c r="C33" s="804"/>
      <c r="D33" s="805"/>
      <c r="E33" s="805"/>
      <c r="F33" s="554">
        <v>0.09</v>
      </c>
      <c r="G33" s="571">
        <f>G32*F33</f>
        <v>14886.718255799999</v>
      </c>
      <c r="H33" s="53"/>
      <c r="I33" s="51"/>
    </row>
    <row r="34" spans="1:7" ht="17.25" customHeight="1">
      <c r="A34" s="554">
        <v>19</v>
      </c>
      <c r="B34" s="274" t="s">
        <v>1613</v>
      </c>
      <c r="C34" s="554"/>
      <c r="D34" s="554" t="s">
        <v>749</v>
      </c>
      <c r="E34" s="554">
        <v>1</v>
      </c>
      <c r="F34" s="571">
        <f>97*1.11*1.086275*1.1112*1.0685*1.06217*1.059*1.2778</f>
        <v>199.5970562453939</v>
      </c>
      <c r="G34" s="571">
        <f>F34*E34</f>
        <v>199.5970562453939</v>
      </c>
    </row>
    <row r="35" spans="1:9" ht="16.5" customHeight="1">
      <c r="A35" s="554">
        <v>20</v>
      </c>
      <c r="B35" s="274" t="s">
        <v>1614</v>
      </c>
      <c r="C35" s="554"/>
      <c r="D35" s="554"/>
      <c r="E35" s="554"/>
      <c r="F35" s="554"/>
      <c r="G35" s="571">
        <v>48898.2</v>
      </c>
      <c r="H35" s="18"/>
      <c r="I35" s="72"/>
    </row>
    <row r="36" spans="1:9" ht="30" customHeight="1">
      <c r="A36" s="554">
        <v>21</v>
      </c>
      <c r="B36" s="274" t="s">
        <v>1615</v>
      </c>
      <c r="C36" s="554"/>
      <c r="D36" s="554"/>
      <c r="E36" s="554"/>
      <c r="F36" s="554"/>
      <c r="G36" s="275">
        <f>(4106.81*1.88%)+4106.81</f>
        <v>4184.018028</v>
      </c>
      <c r="I36" s="295"/>
    </row>
    <row r="37" spans="1:8" ht="15">
      <c r="A37" s="526">
        <v>22</v>
      </c>
      <c r="B37" s="277" t="s">
        <v>567</v>
      </c>
      <c r="C37" s="554"/>
      <c r="D37" s="554"/>
      <c r="E37" s="554"/>
      <c r="F37" s="554"/>
      <c r="G37" s="543">
        <f>G32+G33+G34+G35+G36</f>
        <v>233576.51396004538</v>
      </c>
      <c r="H37" s="55"/>
    </row>
    <row r="38" spans="1:8" ht="30" customHeight="1">
      <c r="A38" s="554">
        <v>23</v>
      </c>
      <c r="B38" s="61" t="s">
        <v>1747</v>
      </c>
      <c r="C38" s="554"/>
      <c r="D38" s="554"/>
      <c r="E38" s="554"/>
      <c r="F38" s="554">
        <v>0.125</v>
      </c>
      <c r="G38" s="571">
        <f>G32*F38</f>
        <v>20675.9975775</v>
      </c>
      <c r="H38" s="120"/>
    </row>
    <row r="39" spans="1:9" ht="16.5" customHeight="1">
      <c r="A39" s="554">
        <v>24</v>
      </c>
      <c r="B39" s="274" t="s">
        <v>1581</v>
      </c>
      <c r="C39" s="554"/>
      <c r="D39" s="554"/>
      <c r="E39" s="554"/>
      <c r="F39" s="554"/>
      <c r="G39" s="571">
        <f>G37+G38</f>
        <v>254252.5115375454</v>
      </c>
      <c r="I39" s="72"/>
    </row>
    <row r="40" spans="1:7" ht="19.5" customHeight="1">
      <c r="A40" s="526">
        <v>25</v>
      </c>
      <c r="B40" s="280" t="s">
        <v>1582</v>
      </c>
      <c r="C40" s="554"/>
      <c r="D40" s="554"/>
      <c r="E40" s="554"/>
      <c r="F40" s="554"/>
      <c r="G40" s="543">
        <f>ROUND(G39,0)</f>
        <v>254253</v>
      </c>
    </row>
    <row r="41" spans="1:7" ht="15">
      <c r="A41" s="125"/>
      <c r="B41" s="38"/>
      <c r="C41" s="464"/>
      <c r="D41" s="134"/>
      <c r="E41" s="134"/>
      <c r="F41" s="134"/>
      <c r="G41" s="465"/>
    </row>
    <row r="42" spans="1:7" ht="15.75" customHeight="1">
      <c r="A42" s="1160" t="s">
        <v>83</v>
      </c>
      <c r="B42" s="1108" t="s">
        <v>1616</v>
      </c>
      <c r="C42" s="1108"/>
      <c r="D42" s="1108"/>
      <c r="E42" s="1108"/>
      <c r="F42" s="1108"/>
      <c r="G42" s="1108"/>
    </row>
    <row r="43" spans="1:7" ht="30" customHeight="1">
      <c r="A43" s="1160"/>
      <c r="B43" s="1108" t="s">
        <v>1617</v>
      </c>
      <c r="C43" s="1108"/>
      <c r="D43" s="1108"/>
      <c r="E43" s="1108"/>
      <c r="F43" s="1108"/>
      <c r="G43" s="1108"/>
    </row>
    <row r="44" spans="1:7" ht="15">
      <c r="A44" s="556" t="s">
        <v>982</v>
      </c>
      <c r="B44" s="481" t="s">
        <v>1749</v>
      </c>
      <c r="C44" s="21"/>
      <c r="D44" s="319"/>
      <c r="E44" s="319"/>
      <c r="F44" s="319"/>
      <c r="G44" s="319"/>
    </row>
  </sheetData>
  <sheetProtection/>
  <mergeCells count="9">
    <mergeCell ref="A42:A43"/>
    <mergeCell ref="B42:G42"/>
    <mergeCell ref="B43:G43"/>
    <mergeCell ref="B1:C1"/>
    <mergeCell ref="F2:G2"/>
    <mergeCell ref="B3:F3"/>
    <mergeCell ref="A18:A20"/>
    <mergeCell ref="A21:A27"/>
    <mergeCell ref="A28:A29"/>
  </mergeCells>
  <printOptions horizontalCentered="1"/>
  <pageMargins left="0.98" right="0.15" top="0.82" bottom="0.3" header="0.47" footer="0.16"/>
  <pageSetup horizontalDpi="600" verticalDpi="600" orientation="landscape" paperSize="9" scale="10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10"/>
  <sheetViews>
    <sheetView zoomScalePageLayoutView="0" workbookViewId="0" topLeftCell="A1">
      <pane xSplit="3" ySplit="6" topLeftCell="D254" activePane="bottomRight" state="frozen"/>
      <selection pane="topLeft" activeCell="A1" sqref="A1"/>
      <selection pane="topRight" activeCell="D1" sqref="D1"/>
      <selection pane="bottomLeft" activeCell="A7" sqref="A7"/>
      <selection pane="bottomRight" activeCell="C16" sqref="C16"/>
    </sheetView>
  </sheetViews>
  <sheetFormatPr defaultColWidth="9.140625" defaultRowHeight="12.75"/>
  <cols>
    <col min="1" max="1" width="6.57421875" style="0" customWidth="1"/>
    <col min="2" max="2" width="4.28125" style="0" bestFit="1" customWidth="1"/>
    <col min="3" max="3" width="60.28125" style="0" customWidth="1"/>
    <col min="4" max="4" width="15.7109375" style="0" customWidth="1"/>
    <col min="5" max="5" width="10.421875" style="0" bestFit="1" customWidth="1"/>
    <col min="6" max="7" width="13.7109375" style="0" customWidth="1"/>
    <col min="8" max="8" width="11.7109375" style="0" customWidth="1"/>
    <col min="9" max="9" width="15.57421875" style="0" customWidth="1"/>
  </cols>
  <sheetData>
    <row r="2" spans="1:9" ht="18">
      <c r="A2" s="11"/>
      <c r="B2" s="1060" t="s">
        <v>1901</v>
      </c>
      <c r="C2" s="1060"/>
      <c r="D2" s="1060"/>
      <c r="E2" s="1060"/>
      <c r="F2" s="1060"/>
      <c r="G2" s="1060"/>
      <c r="H2" s="91"/>
      <c r="I2" s="91"/>
    </row>
    <row r="3" spans="1:9" ht="12.75">
      <c r="A3" s="11"/>
      <c r="B3" s="11"/>
      <c r="C3" s="11"/>
      <c r="D3" s="11"/>
      <c r="E3" s="11"/>
      <c r="F3" s="11"/>
      <c r="G3" s="11"/>
      <c r="H3" s="11"/>
      <c r="I3" s="11"/>
    </row>
    <row r="4" spans="1:9" ht="36">
      <c r="A4" s="1052" t="s">
        <v>1225</v>
      </c>
      <c r="B4" s="1054" t="s">
        <v>353</v>
      </c>
      <c r="C4" s="1055"/>
      <c r="D4" s="1052" t="s">
        <v>354</v>
      </c>
      <c r="E4" s="1052" t="s">
        <v>17</v>
      </c>
      <c r="F4" s="94" t="s">
        <v>1902</v>
      </c>
      <c r="G4" s="94" t="s">
        <v>1823</v>
      </c>
      <c r="H4" s="1036" t="s">
        <v>386</v>
      </c>
      <c r="I4" s="11"/>
    </row>
    <row r="5" spans="1:9" ht="36">
      <c r="A5" s="1053"/>
      <c r="B5" s="1056"/>
      <c r="C5" s="1057"/>
      <c r="D5" s="1053"/>
      <c r="E5" s="1053"/>
      <c r="F5" s="94" t="s">
        <v>986</v>
      </c>
      <c r="G5" s="94" t="s">
        <v>986</v>
      </c>
      <c r="H5" s="1036"/>
      <c r="I5" s="11"/>
    </row>
    <row r="6" spans="1:9" ht="16.5">
      <c r="A6" s="136">
        <v>1</v>
      </c>
      <c r="B6" s="1047">
        <v>2</v>
      </c>
      <c r="C6" s="1048"/>
      <c r="D6" s="136">
        <v>3</v>
      </c>
      <c r="E6" s="136">
        <v>4</v>
      </c>
      <c r="F6" s="95">
        <v>5</v>
      </c>
      <c r="G6" s="95">
        <v>6</v>
      </c>
      <c r="H6" s="95">
        <v>7</v>
      </c>
      <c r="I6" s="11"/>
    </row>
    <row r="7" spans="1:9" ht="15.75">
      <c r="A7" s="1049" t="s">
        <v>387</v>
      </c>
      <c r="B7" s="1050"/>
      <c r="C7" s="1050"/>
      <c r="D7" s="137"/>
      <c r="E7" s="138"/>
      <c r="F7" s="64"/>
      <c r="G7" s="64"/>
      <c r="H7" s="65"/>
      <c r="I7" s="11"/>
    </row>
    <row r="8" spans="1:9" ht="36">
      <c r="A8" s="1037" t="s">
        <v>388</v>
      </c>
      <c r="B8" s="139"/>
      <c r="C8" s="140" t="s">
        <v>439</v>
      </c>
      <c r="D8" s="46"/>
      <c r="E8" s="112"/>
      <c r="F8" s="46"/>
      <c r="G8" s="46"/>
      <c r="H8" s="46"/>
      <c r="I8" s="11"/>
    </row>
    <row r="9" spans="1:9" ht="18">
      <c r="A9" s="1038"/>
      <c r="B9" s="141" t="s">
        <v>15</v>
      </c>
      <c r="C9" s="140" t="s">
        <v>732</v>
      </c>
      <c r="D9" s="141" t="s">
        <v>733</v>
      </c>
      <c r="E9" s="141" t="s">
        <v>1035</v>
      </c>
      <c r="F9" s="142">
        <v>308267</v>
      </c>
      <c r="G9" s="142">
        <v>356392</v>
      </c>
      <c r="H9" s="143">
        <f>(G9-F9)*100/F9</f>
        <v>15.611466683102636</v>
      </c>
      <c r="I9" s="11"/>
    </row>
    <row r="10" spans="1:9" ht="36">
      <c r="A10" s="1038"/>
      <c r="B10" s="141" t="s">
        <v>909</v>
      </c>
      <c r="C10" s="140" t="s">
        <v>1037</v>
      </c>
      <c r="D10" s="141" t="s">
        <v>1036</v>
      </c>
      <c r="E10" s="141" t="s">
        <v>1035</v>
      </c>
      <c r="F10" s="142">
        <v>469985</v>
      </c>
      <c r="G10" s="142">
        <v>579006</v>
      </c>
      <c r="H10" s="143">
        <f>(G10-F10)*100/F10</f>
        <v>23.19669776695001</v>
      </c>
      <c r="I10" s="11"/>
    </row>
    <row r="11" spans="1:9" ht="18">
      <c r="A11" s="1039"/>
      <c r="B11" s="144" t="s">
        <v>158</v>
      </c>
      <c r="C11" s="140" t="s">
        <v>987</v>
      </c>
      <c r="D11" s="141" t="s">
        <v>1038</v>
      </c>
      <c r="E11" s="141" t="s">
        <v>1035</v>
      </c>
      <c r="F11" s="142">
        <v>345596</v>
      </c>
      <c r="G11" s="142">
        <v>409377</v>
      </c>
      <c r="H11" s="143">
        <f>(G11-F11)*100/F11</f>
        <v>18.455364066713734</v>
      </c>
      <c r="I11" s="11"/>
    </row>
    <row r="12" spans="1:9" ht="9" customHeight="1">
      <c r="A12" s="141"/>
      <c r="B12" s="145"/>
      <c r="C12" s="146"/>
      <c r="D12" s="313"/>
      <c r="E12" s="146"/>
      <c r="F12" s="148"/>
      <c r="G12" s="148"/>
      <c r="H12" s="143"/>
      <c r="I12" s="11"/>
    </row>
    <row r="13" spans="1:9" ht="21" customHeight="1">
      <c r="A13" s="1033" t="s">
        <v>1039</v>
      </c>
      <c r="B13" s="141"/>
      <c r="C13" s="149" t="s">
        <v>861</v>
      </c>
      <c r="D13" s="141" t="s">
        <v>1040</v>
      </c>
      <c r="E13" s="150"/>
      <c r="F13" s="151"/>
      <c r="G13" s="151"/>
      <c r="H13" s="143"/>
      <c r="I13" s="11"/>
    </row>
    <row r="14" spans="1:9" ht="18">
      <c r="A14" s="1034"/>
      <c r="B14" s="141" t="s">
        <v>15</v>
      </c>
      <c r="C14" s="140" t="s">
        <v>732</v>
      </c>
      <c r="D14" s="141" t="s">
        <v>1041</v>
      </c>
      <c r="E14" s="141" t="s">
        <v>926</v>
      </c>
      <c r="F14" s="142">
        <v>240386</v>
      </c>
      <c r="G14" s="142">
        <v>252957</v>
      </c>
      <c r="H14" s="143">
        <f>(G14-F14)*100/F14</f>
        <v>5.229505878046142</v>
      </c>
      <c r="I14" s="11"/>
    </row>
    <row r="15" spans="1:9" ht="18">
      <c r="A15" s="1034"/>
      <c r="B15" s="141" t="s">
        <v>909</v>
      </c>
      <c r="C15" s="149" t="s">
        <v>1042</v>
      </c>
      <c r="D15" s="141" t="s">
        <v>1043</v>
      </c>
      <c r="E15" s="141" t="s">
        <v>926</v>
      </c>
      <c r="F15" s="142">
        <v>297180</v>
      </c>
      <c r="G15" s="142">
        <v>334277</v>
      </c>
      <c r="H15" s="143">
        <f>(G15-F15)*100/F15</f>
        <v>12.48300693182583</v>
      </c>
      <c r="I15" s="11"/>
    </row>
    <row r="16" spans="1:9" ht="9" customHeight="1">
      <c r="A16" s="141"/>
      <c r="B16" s="152"/>
      <c r="C16" s="153"/>
      <c r="D16" s="629"/>
      <c r="E16" s="153"/>
      <c r="F16" s="155"/>
      <c r="G16" s="155"/>
      <c r="H16" s="143"/>
      <c r="I16" s="11"/>
    </row>
    <row r="17" spans="1:9" ht="20.25" customHeight="1">
      <c r="A17" s="1033" t="s">
        <v>1044</v>
      </c>
      <c r="B17" s="152"/>
      <c r="C17" s="140" t="s">
        <v>440</v>
      </c>
      <c r="D17" s="629"/>
      <c r="E17" s="153"/>
      <c r="F17" s="155"/>
      <c r="G17" s="155"/>
      <c r="H17" s="143"/>
      <c r="I17" s="11"/>
    </row>
    <row r="18" spans="1:9" ht="18">
      <c r="A18" s="1034"/>
      <c r="B18" s="141" t="s">
        <v>15</v>
      </c>
      <c r="C18" s="140" t="s">
        <v>1045</v>
      </c>
      <c r="D18" s="141" t="s">
        <v>1046</v>
      </c>
      <c r="E18" s="141" t="s">
        <v>926</v>
      </c>
      <c r="F18" s="142">
        <v>59412</v>
      </c>
      <c r="G18" s="142">
        <v>62901</v>
      </c>
      <c r="H18" s="143">
        <f>(G18-F18)*100/F18</f>
        <v>5.872550999798021</v>
      </c>
      <c r="I18" s="11"/>
    </row>
    <row r="19" spans="1:9" ht="20.25" customHeight="1">
      <c r="A19" s="1034"/>
      <c r="B19" s="156" t="s">
        <v>909</v>
      </c>
      <c r="C19" s="157" t="s">
        <v>1048</v>
      </c>
      <c r="D19" s="156" t="s">
        <v>1047</v>
      </c>
      <c r="E19" s="156" t="s">
        <v>926</v>
      </c>
      <c r="F19" s="256">
        <v>91312</v>
      </c>
      <c r="G19" s="256">
        <v>106979</v>
      </c>
      <c r="H19" s="559">
        <f>(G19-F19)*100/F19</f>
        <v>17.15765726301034</v>
      </c>
      <c r="I19" s="11"/>
    </row>
    <row r="20" spans="1:9" ht="18">
      <c r="A20" s="1035"/>
      <c r="B20" s="141" t="s">
        <v>158</v>
      </c>
      <c r="C20" s="140" t="s">
        <v>987</v>
      </c>
      <c r="D20" s="141" t="s">
        <v>1049</v>
      </c>
      <c r="E20" s="141" t="s">
        <v>926</v>
      </c>
      <c r="F20" s="142">
        <v>66598</v>
      </c>
      <c r="G20" s="142">
        <v>73218</v>
      </c>
      <c r="H20" s="143">
        <f>(G20-F20)*100/F20</f>
        <v>9.940238445598967</v>
      </c>
      <c r="I20" s="11"/>
    </row>
    <row r="21" spans="1:9" ht="9" customHeight="1">
      <c r="A21" s="141"/>
      <c r="B21" s="139"/>
      <c r="C21" s="112"/>
      <c r="D21" s="46"/>
      <c r="E21" s="112"/>
      <c r="F21" s="158"/>
      <c r="G21" s="158"/>
      <c r="H21" s="159"/>
      <c r="I21" s="11"/>
    </row>
    <row r="22" spans="1:9" ht="36">
      <c r="A22" s="1033" t="s">
        <v>1050</v>
      </c>
      <c r="B22" s="140"/>
      <c r="C22" s="140" t="s">
        <v>441</v>
      </c>
      <c r="D22" s="630"/>
      <c r="E22" s="161"/>
      <c r="F22" s="162"/>
      <c r="G22" s="162"/>
      <c r="H22" s="143"/>
      <c r="I22" s="11"/>
    </row>
    <row r="23" spans="1:9" ht="18">
      <c r="A23" s="1034"/>
      <c r="B23" s="141" t="s">
        <v>15</v>
      </c>
      <c r="C23" s="140" t="s">
        <v>295</v>
      </c>
      <c r="D23" s="141" t="s">
        <v>296</v>
      </c>
      <c r="E23" s="141" t="s">
        <v>1035</v>
      </c>
      <c r="F23" s="142">
        <v>359934</v>
      </c>
      <c r="G23" s="142">
        <v>416152</v>
      </c>
      <c r="H23" s="143">
        <f>(G23-F23)*100/F23</f>
        <v>15.618974589785905</v>
      </c>
      <c r="I23" s="11"/>
    </row>
    <row r="24" spans="1:9" ht="36">
      <c r="A24" s="1034"/>
      <c r="B24" s="141" t="s">
        <v>909</v>
      </c>
      <c r="C24" s="140" t="s">
        <v>298</v>
      </c>
      <c r="D24" s="141" t="s">
        <v>297</v>
      </c>
      <c r="E24" s="141" t="s">
        <v>1035</v>
      </c>
      <c r="F24" s="142">
        <v>521652</v>
      </c>
      <c r="G24" s="142">
        <v>638767</v>
      </c>
      <c r="H24" s="143">
        <f>(G24-F24)*100/F24</f>
        <v>22.45079094875511</v>
      </c>
      <c r="I24" s="11"/>
    </row>
    <row r="25" spans="1:9" ht="18">
      <c r="A25" s="1035"/>
      <c r="B25" s="141" t="s">
        <v>158</v>
      </c>
      <c r="C25" s="140" t="s">
        <v>987</v>
      </c>
      <c r="D25" s="141" t="s">
        <v>299</v>
      </c>
      <c r="E25" s="141" t="s">
        <v>926</v>
      </c>
      <c r="F25" s="142">
        <v>395864</v>
      </c>
      <c r="G25" s="142">
        <v>467735</v>
      </c>
      <c r="H25" s="143">
        <f>(G25-F25)*100/F25</f>
        <v>18.155477638785037</v>
      </c>
      <c r="I25" s="11"/>
    </row>
    <row r="26" spans="1:9" ht="9" customHeight="1">
      <c r="A26" s="141"/>
      <c r="B26" s="163"/>
      <c r="C26" s="164"/>
      <c r="D26" s="165"/>
      <c r="E26" s="164"/>
      <c r="F26" s="166"/>
      <c r="G26" s="166"/>
      <c r="H26" s="143"/>
      <c r="I26" s="11"/>
    </row>
    <row r="27" spans="1:9" ht="36">
      <c r="A27" s="513" t="s">
        <v>300</v>
      </c>
      <c r="B27" s="167"/>
      <c r="C27" s="140" t="s">
        <v>390</v>
      </c>
      <c r="D27" s="141" t="s">
        <v>391</v>
      </c>
      <c r="E27" s="141" t="s">
        <v>1035</v>
      </c>
      <c r="F27" s="142">
        <v>225507</v>
      </c>
      <c r="G27" s="142">
        <v>263370</v>
      </c>
      <c r="H27" s="143">
        <f>(G27-F27)*100/F27</f>
        <v>16.790166158921895</v>
      </c>
      <c r="I27" s="11"/>
    </row>
    <row r="28" spans="1:9" ht="9" customHeight="1">
      <c r="A28" s="141"/>
      <c r="B28" s="163"/>
      <c r="C28" s="164"/>
      <c r="D28" s="165"/>
      <c r="E28" s="164"/>
      <c r="F28" s="166"/>
      <c r="G28" s="166"/>
      <c r="H28" s="143"/>
      <c r="I28" s="11"/>
    </row>
    <row r="29" spans="1:9" ht="18">
      <c r="A29" s="1033" t="s">
        <v>392</v>
      </c>
      <c r="B29" s="167"/>
      <c r="C29" s="140" t="s">
        <v>988</v>
      </c>
      <c r="D29" s="141" t="s">
        <v>393</v>
      </c>
      <c r="E29" s="141"/>
      <c r="F29" s="142"/>
      <c r="G29" s="142"/>
      <c r="H29" s="143"/>
      <c r="I29" s="11"/>
    </row>
    <row r="30" spans="1:9" ht="36">
      <c r="A30" s="1035"/>
      <c r="B30" s="141" t="s">
        <v>15</v>
      </c>
      <c r="C30" s="140" t="s">
        <v>298</v>
      </c>
      <c r="D30" s="141" t="s">
        <v>989</v>
      </c>
      <c r="E30" s="141" t="s">
        <v>394</v>
      </c>
      <c r="F30" s="142">
        <v>29224</v>
      </c>
      <c r="G30" s="142">
        <v>37059</v>
      </c>
      <c r="H30" s="143">
        <f>(G30-F30)*100/F30</f>
        <v>26.810156036134686</v>
      </c>
      <c r="I30" s="11"/>
    </row>
    <row r="31" spans="1:9" ht="9" customHeight="1">
      <c r="A31" s="513"/>
      <c r="B31" s="168"/>
      <c r="C31" s="169"/>
      <c r="D31" s="170"/>
      <c r="E31" s="170"/>
      <c r="F31" s="171"/>
      <c r="G31" s="171"/>
      <c r="H31" s="143"/>
      <c r="I31" s="11"/>
    </row>
    <row r="32" spans="1:9" ht="54">
      <c r="A32" s="1033" t="s">
        <v>395</v>
      </c>
      <c r="B32" s="168"/>
      <c r="C32" s="169" t="s">
        <v>442</v>
      </c>
      <c r="D32" s="170" t="s">
        <v>234</v>
      </c>
      <c r="E32" s="170"/>
      <c r="F32" s="171"/>
      <c r="G32" s="171"/>
      <c r="H32" s="143"/>
      <c r="I32" s="11"/>
    </row>
    <row r="33" spans="1:9" ht="36">
      <c r="A33" s="1035"/>
      <c r="B33" s="141" t="s">
        <v>15</v>
      </c>
      <c r="C33" s="140" t="s">
        <v>298</v>
      </c>
      <c r="D33" s="170" t="s">
        <v>990</v>
      </c>
      <c r="E33" s="170" t="s">
        <v>1035</v>
      </c>
      <c r="F33" s="142">
        <v>1449447</v>
      </c>
      <c r="G33" s="142">
        <v>1688417</v>
      </c>
      <c r="H33" s="143">
        <f>(G33-F33)*100/F33</f>
        <v>16.48697744726092</v>
      </c>
      <c r="I33" s="11"/>
    </row>
    <row r="34" spans="1:9" ht="9" customHeight="1">
      <c r="A34" s="141"/>
      <c r="B34" s="173"/>
      <c r="C34" s="174"/>
      <c r="D34" s="631"/>
      <c r="E34" s="174"/>
      <c r="F34" s="176"/>
      <c r="G34" s="176"/>
      <c r="H34" s="143"/>
      <c r="I34" s="11"/>
    </row>
    <row r="35" spans="1:9" ht="36">
      <c r="A35" s="1033" t="s">
        <v>235</v>
      </c>
      <c r="B35" s="167"/>
      <c r="C35" s="140" t="s">
        <v>443</v>
      </c>
      <c r="D35" s="141" t="s">
        <v>236</v>
      </c>
      <c r="E35" s="1"/>
      <c r="F35" s="142"/>
      <c r="G35" s="142"/>
      <c r="H35" s="143"/>
      <c r="I35" s="11"/>
    </row>
    <row r="36" spans="1:9" ht="36">
      <c r="A36" s="1035"/>
      <c r="B36" s="141" t="s">
        <v>15</v>
      </c>
      <c r="C36" s="140" t="s">
        <v>298</v>
      </c>
      <c r="D36" s="141" t="s">
        <v>82</v>
      </c>
      <c r="E36" s="141" t="s">
        <v>926</v>
      </c>
      <c r="F36" s="142">
        <v>106516</v>
      </c>
      <c r="G36" s="142">
        <v>121424</v>
      </c>
      <c r="H36" s="143">
        <f>(G36-F36)*100/F36</f>
        <v>13.996019377370535</v>
      </c>
      <c r="I36" s="11"/>
    </row>
    <row r="37" spans="1:9" ht="9" customHeight="1">
      <c r="A37" s="512"/>
      <c r="B37" s="177"/>
      <c r="C37" s="112"/>
      <c r="D37" s="178"/>
      <c r="E37" s="178"/>
      <c r="F37" s="179"/>
      <c r="G37" s="179"/>
      <c r="H37" s="180"/>
      <c r="I37" s="11"/>
    </row>
    <row r="38" spans="1:9" ht="75" customHeight="1">
      <c r="A38" s="1033" t="s">
        <v>237</v>
      </c>
      <c r="B38" s="173"/>
      <c r="C38" s="140" t="s">
        <v>165</v>
      </c>
      <c r="D38" s="141" t="s">
        <v>238</v>
      </c>
      <c r="E38" s="141" t="s">
        <v>239</v>
      </c>
      <c r="F38" s="181"/>
      <c r="G38" s="181"/>
      <c r="H38" s="143"/>
      <c r="I38" s="11"/>
    </row>
    <row r="39" spans="1:9" ht="36">
      <c r="A39" s="1034"/>
      <c r="B39" s="144" t="s">
        <v>1004</v>
      </c>
      <c r="C39" s="140" t="s">
        <v>1903</v>
      </c>
      <c r="D39" s="141" t="s">
        <v>241</v>
      </c>
      <c r="E39" s="141" t="s">
        <v>239</v>
      </c>
      <c r="F39" s="142">
        <v>1358206</v>
      </c>
      <c r="G39" s="142">
        <v>1320891</v>
      </c>
      <c r="H39" s="143">
        <f>(G39-F39)*100/F39</f>
        <v>-2.74737410967114</v>
      </c>
      <c r="I39" s="497"/>
    </row>
    <row r="40" spans="1:9" ht="40.5" customHeight="1">
      <c r="A40" s="1034"/>
      <c r="B40" s="144" t="s">
        <v>1005</v>
      </c>
      <c r="C40" s="140" t="s">
        <v>1904</v>
      </c>
      <c r="D40" s="141" t="s">
        <v>1215</v>
      </c>
      <c r="E40" s="141" t="s">
        <v>239</v>
      </c>
      <c r="F40" s="142"/>
      <c r="G40" s="142">
        <v>1293641</v>
      </c>
      <c r="H40" s="143"/>
      <c r="I40" s="11"/>
    </row>
    <row r="41" spans="1:9" ht="9" customHeight="1">
      <c r="A41" s="141"/>
      <c r="B41" s="183"/>
      <c r="C41" s="184"/>
      <c r="D41" s="185"/>
      <c r="E41" s="186"/>
      <c r="F41" s="187"/>
      <c r="G41" s="187"/>
      <c r="H41" s="143"/>
      <c r="I41" s="11"/>
    </row>
    <row r="42" spans="1:9" ht="54">
      <c r="A42" s="513" t="s">
        <v>1216</v>
      </c>
      <c r="B42" s="167"/>
      <c r="C42" s="140" t="s">
        <v>850</v>
      </c>
      <c r="D42" s="141" t="s">
        <v>851</v>
      </c>
      <c r="E42" s="141" t="s">
        <v>852</v>
      </c>
      <c r="F42" s="142">
        <v>622997</v>
      </c>
      <c r="G42" s="142"/>
      <c r="H42" s="143"/>
      <c r="I42" s="235" t="s">
        <v>266</v>
      </c>
    </row>
    <row r="43" spans="1:9" ht="18">
      <c r="A43" s="1036" t="s">
        <v>853</v>
      </c>
      <c r="B43" s="167"/>
      <c r="C43" s="140" t="s">
        <v>873</v>
      </c>
      <c r="D43" s="141"/>
      <c r="E43" s="184"/>
      <c r="F43" s="187"/>
      <c r="G43" s="187"/>
      <c r="H43" s="143"/>
      <c r="I43" s="11"/>
    </row>
    <row r="44" spans="1:9" ht="36">
      <c r="A44" s="1036"/>
      <c r="B44" s="141"/>
      <c r="C44" s="140" t="s">
        <v>991</v>
      </c>
      <c r="D44" s="141" t="s">
        <v>874</v>
      </c>
      <c r="E44" s="141"/>
      <c r="F44" s="142"/>
      <c r="G44" s="142"/>
      <c r="H44" s="143"/>
      <c r="I44" s="11"/>
    </row>
    <row r="45" spans="1:9" ht="18">
      <c r="A45" s="1036"/>
      <c r="B45" s="141" t="s">
        <v>15</v>
      </c>
      <c r="C45" s="140" t="s">
        <v>875</v>
      </c>
      <c r="D45" s="141" t="s">
        <v>876</v>
      </c>
      <c r="E45" s="141" t="s">
        <v>852</v>
      </c>
      <c r="F45" s="142">
        <v>207261</v>
      </c>
      <c r="G45" s="142">
        <v>215630</v>
      </c>
      <c r="H45" s="143">
        <f>(G45-F45)*100/F45</f>
        <v>4.037903898948668</v>
      </c>
      <c r="I45" s="11"/>
    </row>
    <row r="46" spans="1:9" ht="18">
      <c r="A46" s="1036"/>
      <c r="B46" s="141" t="s">
        <v>909</v>
      </c>
      <c r="C46" s="140" t="s">
        <v>877</v>
      </c>
      <c r="D46" s="141" t="s">
        <v>878</v>
      </c>
      <c r="E46" s="141" t="s">
        <v>852</v>
      </c>
      <c r="F46" s="142">
        <v>232184</v>
      </c>
      <c r="G46" s="142">
        <v>240307</v>
      </c>
      <c r="H46" s="143">
        <f>(G46-F46)*100/F46</f>
        <v>3.49851841642835</v>
      </c>
      <c r="I46" s="11"/>
    </row>
    <row r="47" spans="1:9" ht="9" customHeight="1">
      <c r="A47" s="139"/>
      <c r="B47" s="150"/>
      <c r="C47" s="161"/>
      <c r="D47" s="632"/>
      <c r="E47" s="161"/>
      <c r="F47" s="151"/>
      <c r="G47" s="151"/>
      <c r="H47" s="143"/>
      <c r="I47" s="11"/>
    </row>
    <row r="48" spans="1:9" ht="36">
      <c r="A48" s="1036" t="s">
        <v>879</v>
      </c>
      <c r="B48" s="152"/>
      <c r="C48" s="140" t="s">
        <v>444</v>
      </c>
      <c r="D48" s="629"/>
      <c r="E48" s="153"/>
      <c r="F48" s="151"/>
      <c r="G48" s="151"/>
      <c r="H48" s="143"/>
      <c r="I48" s="11"/>
    </row>
    <row r="49" spans="1:9" ht="18">
      <c r="A49" s="1036"/>
      <c r="B49" s="141" t="s">
        <v>15</v>
      </c>
      <c r="C49" s="140" t="s">
        <v>1045</v>
      </c>
      <c r="D49" s="141" t="s">
        <v>880</v>
      </c>
      <c r="E49" s="141" t="s">
        <v>926</v>
      </c>
      <c r="F49" s="142">
        <v>84636</v>
      </c>
      <c r="G49" s="142">
        <v>91528</v>
      </c>
      <c r="H49" s="143">
        <f>(G49-F49)*100/F49</f>
        <v>8.143106952124391</v>
      </c>
      <c r="I49" s="11"/>
    </row>
    <row r="50" spans="1:9" ht="23.25" customHeight="1">
      <c r="A50" s="1036"/>
      <c r="B50" s="141" t="s">
        <v>909</v>
      </c>
      <c r="C50" s="140" t="s">
        <v>1048</v>
      </c>
      <c r="D50" s="141" t="s">
        <v>881</v>
      </c>
      <c r="E50" s="141" t="s">
        <v>926</v>
      </c>
      <c r="F50" s="142">
        <v>110994</v>
      </c>
      <c r="G50" s="142">
        <v>129728</v>
      </c>
      <c r="H50" s="143">
        <f>(G50-F50)*100/F50</f>
        <v>16.87838982287331</v>
      </c>
      <c r="I50" s="11"/>
    </row>
    <row r="51" spans="1:9" ht="9" customHeight="1">
      <c r="A51" s="139"/>
      <c r="B51" s="189"/>
      <c r="C51" s="161"/>
      <c r="D51" s="189"/>
      <c r="E51" s="189"/>
      <c r="F51" s="151"/>
      <c r="G51" s="151"/>
      <c r="H51" s="143"/>
      <c r="I51" s="11"/>
    </row>
    <row r="52" spans="1:9" ht="36">
      <c r="A52" s="1036" t="s">
        <v>693</v>
      </c>
      <c r="B52" s="189"/>
      <c r="C52" s="161" t="s">
        <v>927</v>
      </c>
      <c r="D52" s="189"/>
      <c r="E52" s="189"/>
      <c r="F52" s="151"/>
      <c r="G52" s="151"/>
      <c r="H52" s="143"/>
      <c r="I52" s="11"/>
    </row>
    <row r="53" spans="1:9" ht="18">
      <c r="A53" s="1036"/>
      <c r="B53" s="141" t="s">
        <v>15</v>
      </c>
      <c r="C53" s="161" t="s">
        <v>928</v>
      </c>
      <c r="D53" s="141" t="s">
        <v>930</v>
      </c>
      <c r="E53" s="141" t="s">
        <v>852</v>
      </c>
      <c r="F53" s="142">
        <v>142427</v>
      </c>
      <c r="G53" s="142">
        <v>151464</v>
      </c>
      <c r="H53" s="143">
        <f>(G53-F53)*100/F53</f>
        <v>6.345004809481348</v>
      </c>
      <c r="I53" s="11"/>
    </row>
    <row r="54" spans="1:9" ht="18">
      <c r="A54" s="1036"/>
      <c r="B54" s="141" t="s">
        <v>909</v>
      </c>
      <c r="C54" s="161" t="s">
        <v>929</v>
      </c>
      <c r="D54" s="141" t="s">
        <v>931</v>
      </c>
      <c r="E54" s="141" t="s">
        <v>852</v>
      </c>
      <c r="F54" s="142">
        <v>147625</v>
      </c>
      <c r="G54" s="142">
        <v>156662</v>
      </c>
      <c r="H54" s="143">
        <f>(G54-F54)*100/F54</f>
        <v>6.121591871295513</v>
      </c>
      <c r="I54" s="11"/>
    </row>
    <row r="55" spans="1:9" ht="9" customHeight="1">
      <c r="A55" s="139"/>
      <c r="B55" s="189"/>
      <c r="C55" s="161"/>
      <c r="D55" s="189"/>
      <c r="E55" s="189"/>
      <c r="F55" s="151"/>
      <c r="G55" s="151"/>
      <c r="H55" s="143"/>
      <c r="I55" s="11"/>
    </row>
    <row r="56" spans="1:9" ht="93" customHeight="1">
      <c r="A56" s="1036" t="s">
        <v>695</v>
      </c>
      <c r="B56" s="189"/>
      <c r="C56" s="161" t="s">
        <v>898</v>
      </c>
      <c r="D56" s="141" t="s">
        <v>899</v>
      </c>
      <c r="E56" s="189"/>
      <c r="F56" s="151"/>
      <c r="G56" s="151"/>
      <c r="H56" s="143"/>
      <c r="I56" s="557"/>
    </row>
    <row r="57" spans="1:9" ht="18">
      <c r="A57" s="1036"/>
      <c r="B57" s="182" t="s">
        <v>15</v>
      </c>
      <c r="C57" s="140" t="s">
        <v>240</v>
      </c>
      <c r="D57" s="141" t="s">
        <v>900</v>
      </c>
      <c r="E57" s="141" t="s">
        <v>239</v>
      </c>
      <c r="F57" s="142">
        <v>1049506</v>
      </c>
      <c r="G57" s="142">
        <v>1031650</v>
      </c>
      <c r="H57" s="143">
        <f>(G57-F57)*100/F57</f>
        <v>-1.7013718835337768</v>
      </c>
      <c r="I57" s="497"/>
    </row>
    <row r="58" spans="1:9" ht="18">
      <c r="A58" s="1036"/>
      <c r="B58" s="144" t="s">
        <v>909</v>
      </c>
      <c r="C58" s="140" t="s">
        <v>1214</v>
      </c>
      <c r="D58" s="141" t="s">
        <v>901</v>
      </c>
      <c r="E58" s="141" t="s">
        <v>239</v>
      </c>
      <c r="F58" s="142">
        <v>1181362</v>
      </c>
      <c r="G58" s="142">
        <v>1144048</v>
      </c>
      <c r="H58" s="143">
        <f>(G58-F58)*100/F58</f>
        <v>-3.158557664797073</v>
      </c>
      <c r="I58" s="497"/>
    </row>
    <row r="59" spans="1:9" ht="9" customHeight="1">
      <c r="A59" s="139"/>
      <c r="B59" s="189"/>
      <c r="C59" s="161"/>
      <c r="D59" s="189"/>
      <c r="E59" s="189"/>
      <c r="F59" s="151"/>
      <c r="G59" s="151"/>
      <c r="H59" s="143"/>
      <c r="I59" s="11"/>
    </row>
    <row r="60" spans="1:9" ht="54">
      <c r="A60" s="1036" t="s">
        <v>543</v>
      </c>
      <c r="B60" s="189"/>
      <c r="C60" s="161" t="s">
        <v>1905</v>
      </c>
      <c r="D60" s="141" t="s">
        <v>1906</v>
      </c>
      <c r="E60" s="189"/>
      <c r="F60" s="151"/>
      <c r="G60" s="151"/>
      <c r="H60" s="143"/>
      <c r="I60" s="619" t="s">
        <v>1907</v>
      </c>
    </row>
    <row r="61" spans="1:9" ht="18">
      <c r="A61" s="1036"/>
      <c r="B61" s="182" t="s">
        <v>15</v>
      </c>
      <c r="C61" s="140" t="s">
        <v>240</v>
      </c>
      <c r="D61" s="141" t="s">
        <v>1908</v>
      </c>
      <c r="E61" s="170" t="s">
        <v>1035</v>
      </c>
      <c r="F61" s="142"/>
      <c r="G61" s="142">
        <v>3708835</v>
      </c>
      <c r="H61" s="143"/>
      <c r="I61" s="11"/>
    </row>
    <row r="62" spans="1:9" ht="18">
      <c r="A62" s="1036"/>
      <c r="B62" s="144" t="s">
        <v>909</v>
      </c>
      <c r="C62" s="140" t="s">
        <v>1214</v>
      </c>
      <c r="D62" s="141" t="s">
        <v>1909</v>
      </c>
      <c r="E62" s="170" t="s">
        <v>1035</v>
      </c>
      <c r="F62" s="142"/>
      <c r="G62" s="142">
        <v>3955051</v>
      </c>
      <c r="H62" s="143"/>
      <c r="I62" s="11"/>
    </row>
    <row r="63" spans="1:9" ht="9" customHeight="1">
      <c r="A63" s="139"/>
      <c r="B63" s="189"/>
      <c r="C63" s="161"/>
      <c r="D63" s="189"/>
      <c r="E63" s="189"/>
      <c r="F63" s="151"/>
      <c r="G63" s="151"/>
      <c r="H63" s="143"/>
      <c r="I63" s="11"/>
    </row>
    <row r="64" spans="1:9" ht="18">
      <c r="A64" s="1042" t="s">
        <v>0</v>
      </c>
      <c r="B64" s="1043"/>
      <c r="C64" s="1043"/>
      <c r="D64" s="137"/>
      <c r="E64" s="190"/>
      <c r="F64" s="187"/>
      <c r="G64" s="187"/>
      <c r="H64" s="143"/>
      <c r="I64" s="11"/>
    </row>
    <row r="65" spans="1:9" ht="9" customHeight="1">
      <c r="A65" s="141"/>
      <c r="B65" s="140"/>
      <c r="C65" s="140"/>
      <c r="D65" s="630"/>
      <c r="E65" s="161"/>
      <c r="F65" s="151"/>
      <c r="G65" s="151"/>
      <c r="H65" s="143"/>
      <c r="I65" s="11"/>
    </row>
    <row r="66" spans="1:9" ht="18">
      <c r="A66" s="1037" t="s">
        <v>388</v>
      </c>
      <c r="B66" s="167"/>
      <c r="C66" s="140" t="s">
        <v>1</v>
      </c>
      <c r="D66" s="630"/>
      <c r="E66" s="161"/>
      <c r="F66" s="151"/>
      <c r="G66" s="151"/>
      <c r="H66" s="143"/>
      <c r="I66" s="11"/>
    </row>
    <row r="67" spans="1:9" ht="9" customHeight="1">
      <c r="A67" s="1038"/>
      <c r="B67" s="191"/>
      <c r="C67" s="192"/>
      <c r="D67" s="633"/>
      <c r="E67" s="192"/>
      <c r="F67" s="194"/>
      <c r="G67" s="194"/>
      <c r="H67" s="143"/>
      <c r="I67" s="11"/>
    </row>
    <row r="68" spans="1:9" ht="36">
      <c r="A68" s="1038"/>
      <c r="B68" s="141" t="s">
        <v>15</v>
      </c>
      <c r="C68" s="140" t="s">
        <v>2</v>
      </c>
      <c r="D68" s="141" t="s">
        <v>3</v>
      </c>
      <c r="E68" s="141" t="s">
        <v>926</v>
      </c>
      <c r="F68" s="142">
        <v>7089743</v>
      </c>
      <c r="G68" s="142">
        <v>7310256</v>
      </c>
      <c r="H68" s="143">
        <f>(G68-F68)*100/F68</f>
        <v>3.1103102044742665</v>
      </c>
      <c r="I68" s="11"/>
    </row>
    <row r="69" spans="1:9" ht="9" customHeight="1">
      <c r="A69" s="1038"/>
      <c r="B69" s="139"/>
      <c r="C69" s="112"/>
      <c r="D69" s="46"/>
      <c r="E69" s="112"/>
      <c r="F69" s="158"/>
      <c r="G69" s="158"/>
      <c r="H69" s="143"/>
      <c r="I69" s="11"/>
    </row>
    <row r="70" spans="1:9" ht="36">
      <c r="A70" s="1038"/>
      <c r="B70" s="141" t="s">
        <v>909</v>
      </c>
      <c r="C70" s="140" t="s">
        <v>866</v>
      </c>
      <c r="D70" s="141" t="s">
        <v>867</v>
      </c>
      <c r="E70" s="141" t="s">
        <v>926</v>
      </c>
      <c r="F70" s="142">
        <v>8789227</v>
      </c>
      <c r="G70" s="142">
        <v>9318229</v>
      </c>
      <c r="H70" s="143">
        <f>(G70-F70)*100/F70</f>
        <v>6.018754550314834</v>
      </c>
      <c r="I70" s="11"/>
    </row>
    <row r="71" spans="1:9" ht="9" customHeight="1">
      <c r="A71" s="1038"/>
      <c r="B71" s="139"/>
      <c r="C71" s="112"/>
      <c r="D71" s="46"/>
      <c r="E71" s="112"/>
      <c r="F71" s="158"/>
      <c r="G71" s="158"/>
      <c r="H71" s="143"/>
      <c r="I71" s="11"/>
    </row>
    <row r="72" spans="1:9" ht="36">
      <c r="A72" s="1039"/>
      <c r="B72" s="141" t="s">
        <v>158</v>
      </c>
      <c r="C72" s="140" t="s">
        <v>868</v>
      </c>
      <c r="D72" s="141" t="s">
        <v>869</v>
      </c>
      <c r="E72" s="141" t="s">
        <v>926</v>
      </c>
      <c r="F72" s="142">
        <v>10519397</v>
      </c>
      <c r="G72" s="142">
        <v>11163138</v>
      </c>
      <c r="H72" s="143">
        <f>(G72-F72)*100/F72</f>
        <v>6.119561796175199</v>
      </c>
      <c r="I72" s="11"/>
    </row>
    <row r="73" spans="1:9" ht="9" customHeight="1">
      <c r="A73" s="195"/>
      <c r="B73" s="196"/>
      <c r="C73" s="197"/>
      <c r="D73" s="198"/>
      <c r="E73" s="197"/>
      <c r="F73" s="199"/>
      <c r="G73" s="199"/>
      <c r="H73" s="143"/>
      <c r="I73" s="589"/>
    </row>
    <row r="74" spans="1:9" ht="18">
      <c r="A74" s="1037" t="s">
        <v>1039</v>
      </c>
      <c r="B74" s="140"/>
      <c r="C74" s="140" t="s">
        <v>888</v>
      </c>
      <c r="D74" s="630"/>
      <c r="E74" s="161"/>
      <c r="F74" s="151"/>
      <c r="G74" s="151"/>
      <c r="H74" s="143"/>
      <c r="I74" s="11"/>
    </row>
    <row r="75" spans="1:9" ht="18">
      <c r="A75" s="1038"/>
      <c r="B75" s="141" t="s">
        <v>15</v>
      </c>
      <c r="C75" s="140" t="s">
        <v>474</v>
      </c>
      <c r="D75" s="141" t="s">
        <v>515</v>
      </c>
      <c r="E75" s="141" t="s">
        <v>926</v>
      </c>
      <c r="F75" s="142">
        <v>929777</v>
      </c>
      <c r="G75" s="142">
        <v>919511</v>
      </c>
      <c r="H75" s="143">
        <f>(G75-F75)*100/F75</f>
        <v>-1.1041357228668809</v>
      </c>
      <c r="I75" s="11"/>
    </row>
    <row r="76" spans="1:9" ht="18">
      <c r="A76" s="1038"/>
      <c r="B76" s="141" t="s">
        <v>909</v>
      </c>
      <c r="C76" s="140" t="s">
        <v>475</v>
      </c>
      <c r="D76" s="141" t="s">
        <v>516</v>
      </c>
      <c r="E76" s="141" t="s">
        <v>926</v>
      </c>
      <c r="F76" s="142">
        <v>2237843</v>
      </c>
      <c r="G76" s="142">
        <v>2532958</v>
      </c>
      <c r="H76" s="143">
        <f>(G76-F76)*100/F76</f>
        <v>13.187475618262765</v>
      </c>
      <c r="I76" s="11"/>
    </row>
    <row r="77" spans="1:9" ht="18">
      <c r="A77" s="1039"/>
      <c r="B77" s="141" t="s">
        <v>158</v>
      </c>
      <c r="C77" s="140" t="s">
        <v>476</v>
      </c>
      <c r="D77" s="141" t="s">
        <v>517</v>
      </c>
      <c r="E77" s="141" t="s">
        <v>926</v>
      </c>
      <c r="F77" s="142">
        <v>3179964</v>
      </c>
      <c r="G77" s="142">
        <v>3558199</v>
      </c>
      <c r="H77" s="143">
        <f>(G77-F77)*100/F77</f>
        <v>11.894317042582871</v>
      </c>
      <c r="I77" s="11"/>
    </row>
    <row r="78" spans="1:9" ht="9" customHeight="1">
      <c r="A78" s="200"/>
      <c r="B78" s="196"/>
      <c r="C78" s="197"/>
      <c r="D78" s="198"/>
      <c r="E78" s="197"/>
      <c r="F78" s="199"/>
      <c r="G78" s="199"/>
      <c r="H78" s="143"/>
      <c r="I78" s="589"/>
    </row>
    <row r="79" spans="1:9" ht="39.75" customHeight="1">
      <c r="A79" s="1033" t="s">
        <v>1044</v>
      </c>
      <c r="B79" s="140"/>
      <c r="C79" s="140" t="s">
        <v>518</v>
      </c>
      <c r="D79" s="630"/>
      <c r="E79" s="161"/>
      <c r="F79" s="151"/>
      <c r="G79" s="151"/>
      <c r="H79" s="143"/>
      <c r="I79" s="11"/>
    </row>
    <row r="80" spans="1:9" ht="18">
      <c r="A80" s="1038"/>
      <c r="B80" s="182" t="s">
        <v>15</v>
      </c>
      <c r="C80" s="201" t="s">
        <v>474</v>
      </c>
      <c r="D80" s="182" t="s">
        <v>519</v>
      </c>
      <c r="E80" s="182" t="s">
        <v>926</v>
      </c>
      <c r="F80" s="202">
        <v>3521311</v>
      </c>
      <c r="G80" s="202">
        <v>3709955</v>
      </c>
      <c r="H80" s="143">
        <f>(G80-F80)*100/F80</f>
        <v>5.357209289381142</v>
      </c>
      <c r="I80" s="139"/>
    </row>
    <row r="81" spans="1:9" ht="18">
      <c r="A81" s="1038"/>
      <c r="B81" s="141" t="s">
        <v>909</v>
      </c>
      <c r="C81" s="140" t="s">
        <v>475</v>
      </c>
      <c r="D81" s="141" t="s">
        <v>520</v>
      </c>
      <c r="E81" s="141" t="s">
        <v>926</v>
      </c>
      <c r="F81" s="142">
        <v>5177819</v>
      </c>
      <c r="G81" s="142">
        <v>5676488</v>
      </c>
      <c r="H81" s="143">
        <f>(G81-F81)*100/F81</f>
        <v>9.630869676981757</v>
      </c>
      <c r="I81" s="11"/>
    </row>
    <row r="82" spans="1:9" ht="18">
      <c r="A82" s="1039"/>
      <c r="B82" s="141" t="s">
        <v>158</v>
      </c>
      <c r="C82" s="140" t="s">
        <v>476</v>
      </c>
      <c r="D82" s="141" t="s">
        <v>521</v>
      </c>
      <c r="E82" s="141" t="s">
        <v>926</v>
      </c>
      <c r="F82" s="142">
        <v>6119750</v>
      </c>
      <c r="G82" s="142">
        <v>6701535</v>
      </c>
      <c r="H82" s="143">
        <f>(G82-F82)*100/F82</f>
        <v>9.506679194411536</v>
      </c>
      <c r="I82" s="11"/>
    </row>
    <row r="83" spans="1:9" ht="9" customHeight="1">
      <c r="A83" s="195"/>
      <c r="B83" s="203"/>
      <c r="C83" s="204"/>
      <c r="D83" s="205"/>
      <c r="E83" s="204"/>
      <c r="F83" s="206"/>
      <c r="G83" s="206"/>
      <c r="H83" s="143"/>
      <c r="I83" s="589"/>
    </row>
    <row r="84" spans="1:9" ht="36">
      <c r="A84" s="207" t="s">
        <v>1050</v>
      </c>
      <c r="B84" s="169"/>
      <c r="C84" s="169" t="s">
        <v>782</v>
      </c>
      <c r="D84" s="170" t="s">
        <v>783</v>
      </c>
      <c r="E84" s="170" t="s">
        <v>926</v>
      </c>
      <c r="F84" s="171">
        <v>515204</v>
      </c>
      <c r="G84" s="171">
        <v>562251</v>
      </c>
      <c r="H84" s="143">
        <f>(G84-F84)*100/F84</f>
        <v>9.131722579793635</v>
      </c>
      <c r="I84" s="11"/>
    </row>
    <row r="85" spans="1:9" ht="9" customHeight="1">
      <c r="A85" s="141"/>
      <c r="B85" s="150"/>
      <c r="C85" s="161"/>
      <c r="D85" s="632"/>
      <c r="E85" s="161"/>
      <c r="F85" s="151"/>
      <c r="G85" s="151"/>
      <c r="H85" s="143"/>
      <c r="I85" s="11"/>
    </row>
    <row r="86" spans="1:9" ht="36">
      <c r="A86" s="207" t="s">
        <v>300</v>
      </c>
      <c r="B86" s="208"/>
      <c r="C86" s="208" t="s">
        <v>784</v>
      </c>
      <c r="D86" s="209" t="s">
        <v>785</v>
      </c>
      <c r="E86" s="209" t="s">
        <v>926</v>
      </c>
      <c r="F86" s="210">
        <v>223704</v>
      </c>
      <c r="G86" s="210">
        <v>235119</v>
      </c>
      <c r="H86" s="143">
        <f>(G86-F86)*100/F86</f>
        <v>5.102725029503272</v>
      </c>
      <c r="I86" s="11"/>
    </row>
    <row r="87" spans="1:9" ht="9" customHeight="1">
      <c r="A87" s="211"/>
      <c r="B87" s="150"/>
      <c r="C87" s="161"/>
      <c r="D87" s="632"/>
      <c r="E87" s="161"/>
      <c r="F87" s="151"/>
      <c r="G87" s="151"/>
      <c r="H87" s="143"/>
      <c r="I87" s="11"/>
    </row>
    <row r="88" spans="1:9" ht="18">
      <c r="A88" s="207" t="s">
        <v>392</v>
      </c>
      <c r="B88" s="208"/>
      <c r="C88" s="208" t="s">
        <v>698</v>
      </c>
      <c r="D88" s="209" t="s">
        <v>699</v>
      </c>
      <c r="E88" s="209" t="s">
        <v>926</v>
      </c>
      <c r="F88" s="210">
        <v>440153</v>
      </c>
      <c r="G88" s="210">
        <v>446574</v>
      </c>
      <c r="H88" s="143">
        <f>(G88-F88)*100/F88</f>
        <v>1.4588109134778133</v>
      </c>
      <c r="I88" s="11"/>
    </row>
    <row r="89" spans="1:9" ht="9" customHeight="1">
      <c r="A89" s="211"/>
      <c r="B89" s="150"/>
      <c r="C89" s="161"/>
      <c r="D89" s="632"/>
      <c r="E89" s="161"/>
      <c r="F89" s="151"/>
      <c r="G89" s="151"/>
      <c r="H89" s="143"/>
      <c r="I89" s="11"/>
    </row>
    <row r="90" spans="1:9" ht="18">
      <c r="A90" s="1037" t="s">
        <v>395</v>
      </c>
      <c r="B90" s="140"/>
      <c r="C90" s="140" t="s">
        <v>700</v>
      </c>
      <c r="D90" s="630"/>
      <c r="E90" s="161"/>
      <c r="F90" s="151"/>
      <c r="G90" s="151"/>
      <c r="H90" s="143"/>
      <c r="I90" s="11"/>
    </row>
    <row r="91" spans="1:9" ht="18">
      <c r="A91" s="1038"/>
      <c r="B91" s="141" t="s">
        <v>15</v>
      </c>
      <c r="C91" s="140" t="s">
        <v>720</v>
      </c>
      <c r="D91" s="141" t="s">
        <v>701</v>
      </c>
      <c r="E91" s="141" t="s">
        <v>926</v>
      </c>
      <c r="F91" s="142">
        <v>2639542</v>
      </c>
      <c r="G91" s="142">
        <v>2942211</v>
      </c>
      <c r="H91" s="143">
        <f>(G91-F91)*100/F91</f>
        <v>11.466724151386869</v>
      </c>
      <c r="I91" s="11"/>
    </row>
    <row r="92" spans="1:9" ht="18">
      <c r="A92" s="1038"/>
      <c r="B92" s="182" t="s">
        <v>909</v>
      </c>
      <c r="C92" s="201" t="s">
        <v>721</v>
      </c>
      <c r="D92" s="182" t="s">
        <v>702</v>
      </c>
      <c r="E92" s="182" t="s">
        <v>926</v>
      </c>
      <c r="F92" s="202">
        <v>3192109</v>
      </c>
      <c r="G92" s="202">
        <v>3569910</v>
      </c>
      <c r="H92" s="143">
        <f>(G92-F92)*100/F92</f>
        <v>11.835466771341455</v>
      </c>
      <c r="I92" s="11"/>
    </row>
    <row r="93" spans="1:9" ht="18">
      <c r="A93" s="1039"/>
      <c r="B93" s="141" t="s">
        <v>158</v>
      </c>
      <c r="C93" s="140" t="s">
        <v>367</v>
      </c>
      <c r="D93" s="141" t="s">
        <v>703</v>
      </c>
      <c r="E93" s="141" t="s">
        <v>926</v>
      </c>
      <c r="F93" s="142">
        <v>3600669</v>
      </c>
      <c r="G93" s="142">
        <v>3985388</v>
      </c>
      <c r="H93" s="143">
        <f>(G93-F93)*100/F93</f>
        <v>10.684653324146153</v>
      </c>
      <c r="I93" s="11"/>
    </row>
    <row r="94" spans="1:9" ht="9" customHeight="1">
      <c r="A94" s="195"/>
      <c r="B94" s="203"/>
      <c r="C94" s="204"/>
      <c r="D94" s="205"/>
      <c r="E94" s="204"/>
      <c r="F94" s="206"/>
      <c r="G94" s="206"/>
      <c r="H94" s="143"/>
      <c r="I94" s="589"/>
    </row>
    <row r="95" spans="1:9" ht="36">
      <c r="A95" s="513" t="s">
        <v>1755</v>
      </c>
      <c r="B95" s="169"/>
      <c r="C95" s="169" t="s">
        <v>704</v>
      </c>
      <c r="D95" s="170" t="s">
        <v>705</v>
      </c>
      <c r="E95" s="170" t="s">
        <v>926</v>
      </c>
      <c r="F95" s="171">
        <v>1283689</v>
      </c>
      <c r="G95" s="171">
        <v>1316266</v>
      </c>
      <c r="H95" s="143">
        <f>(G95-F95)*100/F95</f>
        <v>2.5377642092438277</v>
      </c>
      <c r="I95" s="11"/>
    </row>
    <row r="96" spans="1:9" ht="9" customHeight="1">
      <c r="A96" s="141"/>
      <c r="B96" s="150"/>
      <c r="C96" s="161"/>
      <c r="D96" s="632"/>
      <c r="E96" s="161"/>
      <c r="F96" s="151"/>
      <c r="G96" s="151"/>
      <c r="H96" s="143"/>
      <c r="I96" s="11"/>
    </row>
    <row r="97" spans="1:9" ht="18">
      <c r="A97" s="1042" t="s">
        <v>706</v>
      </c>
      <c r="B97" s="1043"/>
      <c r="C97" s="1043"/>
      <c r="D97" s="137"/>
      <c r="E97" s="190"/>
      <c r="F97" s="187"/>
      <c r="G97" s="187"/>
      <c r="H97" s="143"/>
      <c r="I97" s="11"/>
    </row>
    <row r="98" spans="1:9" ht="9" customHeight="1">
      <c r="A98" s="141"/>
      <c r="B98" s="150"/>
      <c r="C98" s="161"/>
      <c r="D98" s="632"/>
      <c r="E98" s="161"/>
      <c r="F98" s="151"/>
      <c r="G98" s="151"/>
      <c r="H98" s="143"/>
      <c r="I98" s="11"/>
    </row>
    <row r="99" spans="1:9" ht="21" customHeight="1">
      <c r="A99" s="1033" t="s">
        <v>388</v>
      </c>
      <c r="B99" s="145"/>
      <c r="C99" s="201" t="s">
        <v>707</v>
      </c>
      <c r="D99" s="313"/>
      <c r="E99" s="146"/>
      <c r="F99" s="148"/>
      <c r="G99" s="148"/>
      <c r="H99" s="143"/>
      <c r="I99" s="11"/>
    </row>
    <row r="100" spans="1:9" ht="18">
      <c r="A100" s="1034"/>
      <c r="B100" s="182" t="s">
        <v>15</v>
      </c>
      <c r="C100" s="201" t="s">
        <v>708</v>
      </c>
      <c r="D100" s="182" t="s">
        <v>709</v>
      </c>
      <c r="E100" s="182" t="s">
        <v>1035</v>
      </c>
      <c r="F100" s="202">
        <v>237891</v>
      </c>
      <c r="G100" s="202">
        <v>270023</v>
      </c>
      <c r="H100" s="143">
        <f>(G100-F100)*100/F100</f>
        <v>13.507026327183459</v>
      </c>
      <c r="I100" s="11"/>
    </row>
    <row r="101" spans="1:9" ht="18">
      <c r="A101" s="1035"/>
      <c r="B101" s="170" t="s">
        <v>909</v>
      </c>
      <c r="C101" s="169" t="s">
        <v>710</v>
      </c>
      <c r="D101" s="170" t="s">
        <v>711</v>
      </c>
      <c r="E101" s="170" t="s">
        <v>1035</v>
      </c>
      <c r="F101" s="171">
        <v>196040</v>
      </c>
      <c r="G101" s="171">
        <v>220616</v>
      </c>
      <c r="H101" s="143">
        <f>(G101-F101)*100/F101</f>
        <v>12.536217098551315</v>
      </c>
      <c r="I101" s="11"/>
    </row>
    <row r="102" spans="1:9" ht="9" customHeight="1">
      <c r="A102" s="141"/>
      <c r="B102" s="150"/>
      <c r="C102" s="161"/>
      <c r="D102" s="632"/>
      <c r="E102" s="161"/>
      <c r="F102" s="151"/>
      <c r="G102" s="151"/>
      <c r="H102" s="143"/>
      <c r="I102" s="11"/>
    </row>
    <row r="103" spans="1:9" ht="36">
      <c r="A103" s="513" t="s">
        <v>1039</v>
      </c>
      <c r="B103" s="208"/>
      <c r="C103" s="208" t="s">
        <v>712</v>
      </c>
      <c r="D103" s="209" t="s">
        <v>713</v>
      </c>
      <c r="E103" s="209" t="s">
        <v>926</v>
      </c>
      <c r="F103" s="210">
        <v>38386</v>
      </c>
      <c r="G103" s="210">
        <v>41094</v>
      </c>
      <c r="H103" s="143">
        <f>(G103-F103)*100/F103</f>
        <v>7.054655343093836</v>
      </c>
      <c r="I103" s="11"/>
    </row>
    <row r="104" spans="1:9" ht="9" customHeight="1">
      <c r="A104" s="200"/>
      <c r="B104" s="212"/>
      <c r="C104" s="213"/>
      <c r="D104" s="214"/>
      <c r="E104" s="213"/>
      <c r="F104" s="215"/>
      <c r="G104" s="215"/>
      <c r="H104" s="143"/>
      <c r="I104" s="589"/>
    </row>
    <row r="105" spans="1:9" ht="38.25" customHeight="1">
      <c r="A105" s="1042" t="s">
        <v>714</v>
      </c>
      <c r="B105" s="1043"/>
      <c r="C105" s="1043"/>
      <c r="D105" s="137"/>
      <c r="E105" s="190"/>
      <c r="F105" s="187"/>
      <c r="G105" s="187"/>
      <c r="H105" s="143"/>
      <c r="I105" s="11"/>
    </row>
    <row r="106" spans="1:9" ht="9" customHeight="1">
      <c r="A106" s="216"/>
      <c r="B106" s="217"/>
      <c r="C106" s="190"/>
      <c r="D106" s="137"/>
      <c r="E106" s="190"/>
      <c r="F106" s="187"/>
      <c r="G106" s="187"/>
      <c r="H106" s="143"/>
      <c r="I106" s="11"/>
    </row>
    <row r="107" spans="1:9" ht="36">
      <c r="A107" s="1033" t="s">
        <v>388</v>
      </c>
      <c r="B107" s="218"/>
      <c r="C107" s="201" t="s">
        <v>854</v>
      </c>
      <c r="D107" s="219"/>
      <c r="E107" s="220"/>
      <c r="F107" s="221"/>
      <c r="G107" s="221"/>
      <c r="H107" s="143"/>
      <c r="I107" s="11"/>
    </row>
    <row r="108" spans="1:9" ht="18">
      <c r="A108" s="1034"/>
      <c r="B108" s="182" t="s">
        <v>15</v>
      </c>
      <c r="C108" s="201" t="s">
        <v>786</v>
      </c>
      <c r="D108" s="182" t="s">
        <v>855</v>
      </c>
      <c r="E108" s="182" t="s">
        <v>1035</v>
      </c>
      <c r="F108" s="202">
        <v>408116</v>
      </c>
      <c r="G108" s="202">
        <v>506596</v>
      </c>
      <c r="H108" s="143">
        <f>(G108-F108)*100/F108</f>
        <v>24.1303942996599</v>
      </c>
      <c r="I108" s="11"/>
    </row>
    <row r="109" spans="1:9" ht="18">
      <c r="A109" s="1035"/>
      <c r="B109" s="141" t="s">
        <v>909</v>
      </c>
      <c r="C109" s="140" t="s">
        <v>987</v>
      </c>
      <c r="D109" s="170" t="s">
        <v>856</v>
      </c>
      <c r="E109" s="170" t="s">
        <v>1035</v>
      </c>
      <c r="F109" s="171">
        <v>297532</v>
      </c>
      <c r="G109" s="171">
        <v>355149</v>
      </c>
      <c r="H109" s="143">
        <f>(G109-F109)*100/F109</f>
        <v>19.364975868141915</v>
      </c>
      <c r="I109" s="11"/>
    </row>
    <row r="110" spans="1:9" ht="9" customHeight="1">
      <c r="A110" s="510"/>
      <c r="B110" s="141"/>
      <c r="C110" s="169"/>
      <c r="D110" s="170"/>
      <c r="E110" s="170"/>
      <c r="F110" s="171"/>
      <c r="G110" s="171"/>
      <c r="H110" s="143"/>
      <c r="I110" s="11"/>
    </row>
    <row r="111" spans="1:9" ht="36">
      <c r="A111" s="513" t="s">
        <v>1039</v>
      </c>
      <c r="B111" s="141" t="s">
        <v>909</v>
      </c>
      <c r="C111" s="140" t="s">
        <v>787</v>
      </c>
      <c r="D111" s="141" t="s">
        <v>788</v>
      </c>
      <c r="E111" s="141" t="s">
        <v>394</v>
      </c>
      <c r="F111" s="142">
        <v>22252</v>
      </c>
      <c r="G111" s="142">
        <v>28746</v>
      </c>
      <c r="H111" s="143">
        <f>(G111-F111)*100/F111</f>
        <v>29.183893582599318</v>
      </c>
      <c r="I111" s="11"/>
    </row>
    <row r="112" spans="1:9" ht="18">
      <c r="A112" s="1033" t="s">
        <v>1044</v>
      </c>
      <c r="B112" s="141" t="s">
        <v>158</v>
      </c>
      <c r="C112" s="140" t="s">
        <v>992</v>
      </c>
      <c r="D112" s="141" t="s">
        <v>789</v>
      </c>
      <c r="E112" s="170"/>
      <c r="F112" s="142"/>
      <c r="G112" s="142"/>
      <c r="H112" s="143"/>
      <c r="I112" s="11"/>
    </row>
    <row r="113" spans="1:9" ht="39" customHeight="1">
      <c r="A113" s="1034"/>
      <c r="B113" s="141" t="s">
        <v>1004</v>
      </c>
      <c r="C113" s="140" t="s">
        <v>993</v>
      </c>
      <c r="D113" s="141"/>
      <c r="E113" s="170"/>
      <c r="F113" s="142"/>
      <c r="G113" s="142"/>
      <c r="H113" s="143"/>
      <c r="I113" s="11"/>
    </row>
    <row r="114" spans="1:9" ht="37.5" customHeight="1">
      <c r="A114" s="1034"/>
      <c r="B114" s="182" t="s">
        <v>15</v>
      </c>
      <c r="C114" s="140" t="s">
        <v>994</v>
      </c>
      <c r="D114" s="141" t="s">
        <v>61</v>
      </c>
      <c r="E114" s="170" t="s">
        <v>1035</v>
      </c>
      <c r="F114" s="142">
        <v>1281996</v>
      </c>
      <c r="G114" s="142">
        <v>1459762</v>
      </c>
      <c r="H114" s="143">
        <f>(G114-F114)*100/F114</f>
        <v>13.866345916835934</v>
      </c>
      <c r="I114" s="11"/>
    </row>
    <row r="115" spans="1:9" ht="37.5" customHeight="1">
      <c r="A115" s="1034"/>
      <c r="B115" s="141" t="s">
        <v>909</v>
      </c>
      <c r="C115" s="140" t="s">
        <v>60</v>
      </c>
      <c r="D115" s="141" t="s">
        <v>62</v>
      </c>
      <c r="E115" s="170" t="s">
        <v>1035</v>
      </c>
      <c r="F115" s="142">
        <v>1434429</v>
      </c>
      <c r="G115" s="142">
        <v>1610262</v>
      </c>
      <c r="H115" s="143">
        <f>(G115-F115)*100/F115</f>
        <v>12.258048324455237</v>
      </c>
      <c r="I115" s="11"/>
    </row>
    <row r="116" spans="1:9" ht="19.5" customHeight="1">
      <c r="A116" s="1034"/>
      <c r="B116" s="141" t="s">
        <v>1005</v>
      </c>
      <c r="C116" s="140" t="s">
        <v>63</v>
      </c>
      <c r="D116" s="141"/>
      <c r="E116" s="170"/>
      <c r="F116" s="142"/>
      <c r="G116" s="142"/>
      <c r="H116" s="143"/>
      <c r="I116" s="11"/>
    </row>
    <row r="117" spans="1:9" ht="36">
      <c r="A117" s="1034"/>
      <c r="B117" s="182" t="s">
        <v>15</v>
      </c>
      <c r="C117" s="140" t="s">
        <v>994</v>
      </c>
      <c r="D117" s="141" t="s">
        <v>64</v>
      </c>
      <c r="E117" s="170" t="s">
        <v>1035</v>
      </c>
      <c r="F117" s="142">
        <v>863200</v>
      </c>
      <c r="G117" s="142">
        <v>882525</v>
      </c>
      <c r="H117" s="143">
        <f>(G117-F117)*100/F117</f>
        <v>2.2387627432808155</v>
      </c>
      <c r="I117" s="11"/>
    </row>
    <row r="118" spans="1:9" ht="36">
      <c r="A118" s="1035"/>
      <c r="B118" s="141" t="s">
        <v>909</v>
      </c>
      <c r="C118" s="140" t="s">
        <v>60</v>
      </c>
      <c r="D118" s="141" t="s">
        <v>65</v>
      </c>
      <c r="E118" s="170" t="s">
        <v>1035</v>
      </c>
      <c r="F118" s="142">
        <v>1015632</v>
      </c>
      <c r="G118" s="142">
        <v>1033025</v>
      </c>
      <c r="H118" s="143">
        <f>(G118-F118)*100/F118</f>
        <v>1.7125297351796713</v>
      </c>
      <c r="I118" s="11"/>
    </row>
    <row r="119" spans="1:9" ht="36">
      <c r="A119" s="513" t="s">
        <v>1050</v>
      </c>
      <c r="B119" s="141" t="s">
        <v>159</v>
      </c>
      <c r="C119" s="140" t="s">
        <v>790</v>
      </c>
      <c r="D119" s="141" t="s">
        <v>791</v>
      </c>
      <c r="E119" s="170" t="s">
        <v>1035</v>
      </c>
      <c r="F119" s="142">
        <v>166702</v>
      </c>
      <c r="G119" s="142">
        <v>195588</v>
      </c>
      <c r="H119" s="143">
        <f>(G119-F119)*100/F119</f>
        <v>17.327926479586328</v>
      </c>
      <c r="I119" s="11"/>
    </row>
    <row r="120" spans="1:9" ht="36">
      <c r="A120" s="513" t="s">
        <v>300</v>
      </c>
      <c r="B120" s="170" t="s">
        <v>160</v>
      </c>
      <c r="C120" s="169" t="s">
        <v>792</v>
      </c>
      <c r="D120" s="170" t="s">
        <v>793</v>
      </c>
      <c r="E120" s="170" t="s">
        <v>1035</v>
      </c>
      <c r="F120" s="171">
        <v>120871</v>
      </c>
      <c r="G120" s="171">
        <v>140589</v>
      </c>
      <c r="H120" s="143">
        <f>(G120-F120)*100/F120</f>
        <v>16.31325959080342</v>
      </c>
      <c r="I120" s="11"/>
    </row>
    <row r="121" spans="1:9" ht="36">
      <c r="A121" s="513" t="s">
        <v>392</v>
      </c>
      <c r="B121" s="222" t="s">
        <v>161</v>
      </c>
      <c r="C121" s="140" t="s">
        <v>794</v>
      </c>
      <c r="D121" s="141" t="s">
        <v>795</v>
      </c>
      <c r="E121" s="170" t="s">
        <v>1035</v>
      </c>
      <c r="F121" s="142">
        <v>2652028</v>
      </c>
      <c r="G121" s="142">
        <v>3222793</v>
      </c>
      <c r="H121" s="143">
        <f>(G121-F121)*100/F121</f>
        <v>21.521831594538217</v>
      </c>
      <c r="I121" s="11"/>
    </row>
    <row r="122" spans="1:9" ht="9" customHeight="1">
      <c r="A122" s="634"/>
      <c r="B122" s="630"/>
      <c r="C122" s="632"/>
      <c r="D122" s="632"/>
      <c r="E122" s="161"/>
      <c r="F122" s="151"/>
      <c r="G122" s="151"/>
      <c r="H122" s="143"/>
      <c r="I122" s="11"/>
    </row>
    <row r="123" spans="1:9" ht="18">
      <c r="A123" s="1033" t="s">
        <v>395</v>
      </c>
      <c r="B123" s="169"/>
      <c r="C123" s="201" t="s">
        <v>796</v>
      </c>
      <c r="D123" s="313"/>
      <c r="E123" s="146"/>
      <c r="F123" s="148"/>
      <c r="G123" s="148"/>
      <c r="H123" s="143"/>
      <c r="I123" s="11"/>
    </row>
    <row r="124" spans="1:9" ht="18">
      <c r="A124" s="1034"/>
      <c r="B124" s="141" t="s">
        <v>15</v>
      </c>
      <c r="C124" s="201" t="s">
        <v>797</v>
      </c>
      <c r="D124" s="182" t="s">
        <v>857</v>
      </c>
      <c r="E124" s="182" t="s">
        <v>926</v>
      </c>
      <c r="F124" s="202">
        <v>69176</v>
      </c>
      <c r="G124" s="202">
        <v>83694</v>
      </c>
      <c r="H124" s="143">
        <f>(G124-F124)*100/F124</f>
        <v>20.987047530935584</v>
      </c>
      <c r="I124" s="11"/>
    </row>
    <row r="125" spans="1:9" ht="18">
      <c r="A125" s="1035"/>
      <c r="B125" s="141" t="s">
        <v>909</v>
      </c>
      <c r="C125" s="140" t="s">
        <v>987</v>
      </c>
      <c r="D125" s="182" t="s">
        <v>858</v>
      </c>
      <c r="E125" s="182" t="s">
        <v>926</v>
      </c>
      <c r="F125" s="142">
        <v>50558</v>
      </c>
      <c r="G125" s="142">
        <v>58219</v>
      </c>
      <c r="H125" s="143">
        <f>(G125-F125)*100/F125</f>
        <v>15.15289370623838</v>
      </c>
      <c r="I125" s="11"/>
    </row>
    <row r="126" spans="1:9" ht="9" customHeight="1">
      <c r="A126" s="224"/>
      <c r="B126" s="225"/>
      <c r="C126" s="112"/>
      <c r="D126" s="178"/>
      <c r="E126" s="178"/>
      <c r="F126" s="179"/>
      <c r="G126" s="179"/>
      <c r="H126" s="226"/>
      <c r="I126" s="11"/>
    </row>
    <row r="127" spans="1:9" ht="36">
      <c r="A127" s="1036" t="s">
        <v>235</v>
      </c>
      <c r="B127" s="140"/>
      <c r="C127" s="140" t="s">
        <v>1910</v>
      </c>
      <c r="D127" s="635"/>
      <c r="E127" s="140"/>
      <c r="F127" s="228"/>
      <c r="G127" s="228"/>
      <c r="H127" s="143"/>
      <c r="I127" s="11"/>
    </row>
    <row r="128" spans="1:9" ht="18">
      <c r="A128" s="1036"/>
      <c r="B128" s="141" t="s">
        <v>15</v>
      </c>
      <c r="C128" s="140" t="s">
        <v>708</v>
      </c>
      <c r="D128" s="141" t="s">
        <v>799</v>
      </c>
      <c r="E128" s="141" t="s">
        <v>1035</v>
      </c>
      <c r="F128" s="142">
        <v>316496</v>
      </c>
      <c r="G128" s="142">
        <v>372572</v>
      </c>
      <c r="H128" s="143">
        <f>(G128-F128)*100/F128</f>
        <v>17.71775946615439</v>
      </c>
      <c r="I128" s="11"/>
    </row>
    <row r="129" spans="1:9" ht="18">
      <c r="A129" s="1036"/>
      <c r="B129" s="141" t="s">
        <v>909</v>
      </c>
      <c r="C129" s="140" t="s">
        <v>800</v>
      </c>
      <c r="D129" s="141" t="s">
        <v>801</v>
      </c>
      <c r="E129" s="141" t="s">
        <v>1035</v>
      </c>
      <c r="F129" s="142">
        <v>279145</v>
      </c>
      <c r="G129" s="142">
        <v>326617</v>
      </c>
      <c r="H129" s="143">
        <f>(G129-F129)*100/F129</f>
        <v>17.00621540776299</v>
      </c>
      <c r="I129" s="11"/>
    </row>
    <row r="130" spans="1:9" ht="9" customHeight="1">
      <c r="A130" s="141"/>
      <c r="B130" s="139"/>
      <c r="C130" s="112"/>
      <c r="D130" s="46"/>
      <c r="E130" s="112"/>
      <c r="F130" s="158"/>
      <c r="G130" s="158"/>
      <c r="H130" s="143"/>
      <c r="I130" s="11"/>
    </row>
    <row r="131" spans="1:9" ht="36">
      <c r="A131" s="513" t="s">
        <v>237</v>
      </c>
      <c r="B131" s="140"/>
      <c r="C131" s="140" t="s">
        <v>715</v>
      </c>
      <c r="D131" s="141" t="s">
        <v>802</v>
      </c>
      <c r="E131" s="141" t="s">
        <v>926</v>
      </c>
      <c r="F131" s="142">
        <v>53737</v>
      </c>
      <c r="G131" s="142">
        <v>61153</v>
      </c>
      <c r="H131" s="143">
        <f>(G131-F131)*100/F131</f>
        <v>13.80054710906824</v>
      </c>
      <c r="I131" s="11"/>
    </row>
    <row r="132" spans="1:9" ht="9" customHeight="1">
      <c r="A132" s="513"/>
      <c r="B132" s="140"/>
      <c r="C132" s="140"/>
      <c r="D132" s="141"/>
      <c r="E132" s="141"/>
      <c r="F132" s="142"/>
      <c r="G132" s="142"/>
      <c r="H132" s="143"/>
      <c r="I132" s="11"/>
    </row>
    <row r="133" spans="1:9" ht="18">
      <c r="A133" s="1033" t="s">
        <v>1216</v>
      </c>
      <c r="B133" s="140"/>
      <c r="C133" s="140" t="s">
        <v>859</v>
      </c>
      <c r="D133" s="141"/>
      <c r="E133" s="141"/>
      <c r="F133" s="142"/>
      <c r="G133" s="142"/>
      <c r="H133" s="143"/>
      <c r="I133" s="11"/>
    </row>
    <row r="134" spans="1:9" ht="18">
      <c r="A134" s="1034"/>
      <c r="B134" s="141" t="s">
        <v>1004</v>
      </c>
      <c r="C134" s="140" t="s">
        <v>987</v>
      </c>
      <c r="D134" s="141"/>
      <c r="E134" s="141"/>
      <c r="F134" s="142"/>
      <c r="G134" s="142"/>
      <c r="H134" s="143"/>
      <c r="I134" s="11"/>
    </row>
    <row r="135" spans="1:9" ht="18">
      <c r="A135" s="1034"/>
      <c r="B135" s="141" t="s">
        <v>15</v>
      </c>
      <c r="C135" s="140" t="s">
        <v>122</v>
      </c>
      <c r="D135" s="141" t="s">
        <v>803</v>
      </c>
      <c r="E135" s="141" t="s">
        <v>1035</v>
      </c>
      <c r="F135" s="142">
        <v>339818</v>
      </c>
      <c r="G135" s="142">
        <v>405877</v>
      </c>
      <c r="H135" s="143">
        <f>(G135-F135)*100/F135</f>
        <v>19.439523509643397</v>
      </c>
      <c r="I135" s="11"/>
    </row>
    <row r="136" spans="1:9" ht="18">
      <c r="A136" s="1035"/>
      <c r="B136" s="141" t="s">
        <v>909</v>
      </c>
      <c r="C136" s="140" t="s">
        <v>121</v>
      </c>
      <c r="D136" s="141" t="s">
        <v>804</v>
      </c>
      <c r="E136" s="141" t="s">
        <v>1035</v>
      </c>
      <c r="F136" s="142">
        <v>387603</v>
      </c>
      <c r="G136" s="142">
        <v>461671</v>
      </c>
      <c r="H136" s="143">
        <f>(G136-F136)*100/F136</f>
        <v>19.109243220511708</v>
      </c>
      <c r="I136" s="11"/>
    </row>
    <row r="137" spans="1:9" ht="9" customHeight="1">
      <c r="A137" s="510"/>
      <c r="B137" s="141"/>
      <c r="C137" s="140"/>
      <c r="D137" s="141"/>
      <c r="E137" s="141"/>
      <c r="F137" s="142"/>
      <c r="G137" s="142"/>
      <c r="H137" s="143"/>
      <c r="I137" s="11"/>
    </row>
    <row r="138" spans="1:9" ht="36">
      <c r="A138" s="1033" t="s">
        <v>853</v>
      </c>
      <c r="B138" s="140"/>
      <c r="C138" s="140" t="s">
        <v>805</v>
      </c>
      <c r="D138" s="141"/>
      <c r="E138" s="141"/>
      <c r="F138" s="142"/>
      <c r="G138" s="142"/>
      <c r="H138" s="143"/>
      <c r="I138" s="11"/>
    </row>
    <row r="139" spans="1:9" ht="18">
      <c r="A139" s="1034"/>
      <c r="B139" s="141" t="s">
        <v>15</v>
      </c>
      <c r="C139" s="140" t="s">
        <v>806</v>
      </c>
      <c r="D139" s="141" t="s">
        <v>807</v>
      </c>
      <c r="E139" s="141" t="s">
        <v>1035</v>
      </c>
      <c r="F139" s="142">
        <v>481367</v>
      </c>
      <c r="G139" s="142">
        <v>602016</v>
      </c>
      <c r="H139" s="143">
        <f>(G139-F139)*100/F139</f>
        <v>25.063828638024624</v>
      </c>
      <c r="I139" s="11"/>
    </row>
    <row r="140" spans="1:9" ht="18">
      <c r="A140" s="1035"/>
      <c r="B140" s="141" t="s">
        <v>909</v>
      </c>
      <c r="C140" s="140" t="s">
        <v>1258</v>
      </c>
      <c r="D140" s="141" t="s">
        <v>808</v>
      </c>
      <c r="E140" s="141" t="s">
        <v>1035</v>
      </c>
      <c r="F140" s="142">
        <v>529152</v>
      </c>
      <c r="G140" s="142">
        <v>657810</v>
      </c>
      <c r="H140" s="143">
        <f>(G140-F140)*100/F140</f>
        <v>24.313996734397676</v>
      </c>
      <c r="I140" s="11"/>
    </row>
    <row r="141" spans="1:9" ht="36">
      <c r="A141" s="513" t="s">
        <v>879</v>
      </c>
      <c r="B141" s="140"/>
      <c r="C141" s="140" t="s">
        <v>691</v>
      </c>
      <c r="D141" s="141" t="s">
        <v>692</v>
      </c>
      <c r="E141" s="141" t="s">
        <v>394</v>
      </c>
      <c r="F141" s="142">
        <v>24867</v>
      </c>
      <c r="G141" s="142">
        <v>32500</v>
      </c>
      <c r="H141" s="143">
        <f>(G141-F141)*100/F141</f>
        <v>30.695298990630153</v>
      </c>
      <c r="I141" s="11"/>
    </row>
    <row r="142" spans="1:9" ht="75.75" customHeight="1">
      <c r="A142" s="1033" t="s">
        <v>693</v>
      </c>
      <c r="B142" s="140"/>
      <c r="C142" s="140" t="s">
        <v>1911</v>
      </c>
      <c r="D142" s="141" t="s">
        <v>694</v>
      </c>
      <c r="E142" s="141"/>
      <c r="F142" s="142"/>
      <c r="G142" s="142"/>
      <c r="H142" s="143"/>
      <c r="I142" s="11"/>
    </row>
    <row r="143" spans="1:9" ht="36">
      <c r="A143" s="1034"/>
      <c r="B143" s="144" t="s">
        <v>1004</v>
      </c>
      <c r="C143" s="140" t="s">
        <v>1912</v>
      </c>
      <c r="D143" s="141" t="s">
        <v>262</v>
      </c>
      <c r="E143" s="141" t="s">
        <v>239</v>
      </c>
      <c r="F143" s="142">
        <v>944173</v>
      </c>
      <c r="G143" s="142">
        <v>970821</v>
      </c>
      <c r="H143" s="143">
        <f>(G143-F143)*100/F143</f>
        <v>2.8223641218293682</v>
      </c>
      <c r="I143" s="235"/>
    </row>
    <row r="144" spans="1:9" ht="36">
      <c r="A144" s="1035"/>
      <c r="B144" s="144" t="s">
        <v>1005</v>
      </c>
      <c r="C144" s="140" t="s">
        <v>1913</v>
      </c>
      <c r="D144" s="141" t="s">
        <v>263</v>
      </c>
      <c r="E144" s="141" t="s">
        <v>239</v>
      </c>
      <c r="F144" s="142"/>
      <c r="G144" s="142">
        <v>943571</v>
      </c>
      <c r="H144" s="143"/>
      <c r="I144" s="11"/>
    </row>
    <row r="145" spans="1:9" ht="9" customHeight="1">
      <c r="A145" s="512"/>
      <c r="B145" s="141"/>
      <c r="C145" s="140"/>
      <c r="D145" s="141"/>
      <c r="E145" s="141"/>
      <c r="F145" s="142"/>
      <c r="G145" s="142"/>
      <c r="H145" s="143"/>
      <c r="I145" s="11"/>
    </row>
    <row r="146" spans="1:9" ht="40.5" customHeight="1">
      <c r="A146" s="513" t="s">
        <v>695</v>
      </c>
      <c r="B146" s="140"/>
      <c r="C146" s="140" t="s">
        <v>696</v>
      </c>
      <c r="D146" s="141" t="s">
        <v>697</v>
      </c>
      <c r="E146" s="141" t="s">
        <v>852</v>
      </c>
      <c r="F146" s="142">
        <v>334544</v>
      </c>
      <c r="G146" s="142"/>
      <c r="H146" s="143"/>
      <c r="I146" s="235" t="s">
        <v>266</v>
      </c>
    </row>
    <row r="147" spans="1:9" ht="39" customHeight="1">
      <c r="A147" s="1036" t="s">
        <v>543</v>
      </c>
      <c r="B147" s="140"/>
      <c r="C147" s="140" t="s">
        <v>1914</v>
      </c>
      <c r="D147" s="141"/>
      <c r="E147" s="141"/>
      <c r="F147" s="142"/>
      <c r="G147" s="142"/>
      <c r="H147" s="143"/>
      <c r="I147" s="11"/>
    </row>
    <row r="148" spans="1:9" ht="18">
      <c r="A148" s="1036"/>
      <c r="B148" s="141" t="s">
        <v>15</v>
      </c>
      <c r="C148" s="140" t="s">
        <v>545</v>
      </c>
      <c r="D148" s="141" t="s">
        <v>546</v>
      </c>
      <c r="E148" s="141" t="s">
        <v>1035</v>
      </c>
      <c r="F148" s="142">
        <v>1216051</v>
      </c>
      <c r="G148" s="142">
        <v>1470358</v>
      </c>
      <c r="H148" s="143">
        <f>(G148-F148)*100/F148</f>
        <v>20.91252751734919</v>
      </c>
      <c r="I148" s="11"/>
    </row>
    <row r="149" spans="1:9" ht="18">
      <c r="A149" s="1036"/>
      <c r="B149" s="141" t="s">
        <v>909</v>
      </c>
      <c r="C149" s="140" t="s">
        <v>547</v>
      </c>
      <c r="D149" s="141" t="s">
        <v>548</v>
      </c>
      <c r="E149" s="141" t="s">
        <v>1035</v>
      </c>
      <c r="F149" s="142">
        <v>1766837</v>
      </c>
      <c r="G149" s="142">
        <v>1972972</v>
      </c>
      <c r="H149" s="143">
        <f>(G149-F149)*100/F149</f>
        <v>11.666894003238555</v>
      </c>
      <c r="I149" s="11"/>
    </row>
    <row r="150" spans="1:9" ht="36">
      <c r="A150" s="1033" t="s">
        <v>664</v>
      </c>
      <c r="B150" s="140"/>
      <c r="C150" s="140" t="s">
        <v>665</v>
      </c>
      <c r="D150" s="141" t="s">
        <v>666</v>
      </c>
      <c r="E150" s="139"/>
      <c r="F150" s="158"/>
      <c r="G150" s="158"/>
      <c r="H150" s="143"/>
      <c r="I150" s="11"/>
    </row>
    <row r="151" spans="1:9" ht="18">
      <c r="A151" s="1034"/>
      <c r="B151" s="141" t="s">
        <v>15</v>
      </c>
      <c r="C151" s="140" t="s">
        <v>456</v>
      </c>
      <c r="D151" s="141" t="s">
        <v>667</v>
      </c>
      <c r="E151" s="141" t="s">
        <v>394</v>
      </c>
      <c r="F151" s="142">
        <v>2034</v>
      </c>
      <c r="G151" s="142">
        <v>1902</v>
      </c>
      <c r="H151" s="143">
        <f>(G151-F151)*100/F151</f>
        <v>-6.489675516224189</v>
      </c>
      <c r="I151" s="11"/>
    </row>
    <row r="152" spans="1:9" ht="18">
      <c r="A152" s="1034"/>
      <c r="B152" s="141" t="s">
        <v>909</v>
      </c>
      <c r="C152" s="140" t="s">
        <v>457</v>
      </c>
      <c r="D152" s="141" t="s">
        <v>668</v>
      </c>
      <c r="E152" s="141" t="s">
        <v>394</v>
      </c>
      <c r="F152" s="142">
        <v>3868</v>
      </c>
      <c r="G152" s="142">
        <v>3603</v>
      </c>
      <c r="H152" s="143">
        <f>(G152-F152)*100/F152</f>
        <v>-6.851085832471561</v>
      </c>
      <c r="I152" s="11"/>
    </row>
    <row r="153" spans="1:9" ht="18">
      <c r="A153" s="1034"/>
      <c r="B153" s="141" t="s">
        <v>158</v>
      </c>
      <c r="C153" s="140" t="s">
        <v>458</v>
      </c>
      <c r="D153" s="141" t="s">
        <v>669</v>
      </c>
      <c r="E153" s="141" t="s">
        <v>394</v>
      </c>
      <c r="F153" s="142">
        <v>4607</v>
      </c>
      <c r="G153" s="142">
        <v>4289</v>
      </c>
      <c r="H153" s="143">
        <f>(G153-F153)*100/F153</f>
        <v>-6.90253961363143</v>
      </c>
      <c r="I153" s="11"/>
    </row>
    <row r="154" spans="1:9" ht="18">
      <c r="A154" s="1034"/>
      <c r="B154" s="141" t="s">
        <v>159</v>
      </c>
      <c r="C154" s="140" t="s">
        <v>459</v>
      </c>
      <c r="D154" s="141" t="s">
        <v>670</v>
      </c>
      <c r="E154" s="141" t="s">
        <v>394</v>
      </c>
      <c r="F154" s="142">
        <v>4607</v>
      </c>
      <c r="G154" s="142">
        <v>4289</v>
      </c>
      <c r="H154" s="143">
        <f>(G154-F154)*100/F154</f>
        <v>-6.90253961363143</v>
      </c>
      <c r="I154" s="11"/>
    </row>
    <row r="155" spans="1:9" ht="18">
      <c r="A155" s="1035"/>
      <c r="B155" s="141" t="s">
        <v>160</v>
      </c>
      <c r="C155" s="140" t="s">
        <v>460</v>
      </c>
      <c r="D155" s="141" t="s">
        <v>671</v>
      </c>
      <c r="E155" s="141" t="s">
        <v>394</v>
      </c>
      <c r="F155" s="142">
        <v>4607</v>
      </c>
      <c r="G155" s="142">
        <v>4289</v>
      </c>
      <c r="H155" s="143">
        <f>(G155-F155)*100/F155</f>
        <v>-6.90253961363143</v>
      </c>
      <c r="I155" s="589"/>
    </row>
    <row r="156" spans="1:9" ht="9" customHeight="1">
      <c r="A156" s="512"/>
      <c r="B156" s="225"/>
      <c r="C156" s="112"/>
      <c r="D156" s="178"/>
      <c r="E156" s="178"/>
      <c r="F156" s="179"/>
      <c r="G156" s="179"/>
      <c r="H156" s="143"/>
      <c r="I156" s="589"/>
    </row>
    <row r="157" spans="1:9" ht="18">
      <c r="A157" s="1036" t="s">
        <v>672</v>
      </c>
      <c r="B157" s="152"/>
      <c r="C157" s="140" t="s">
        <v>860</v>
      </c>
      <c r="D157" s="629"/>
      <c r="E157" s="153"/>
      <c r="F157" s="142"/>
      <c r="G157" s="142"/>
      <c r="H157" s="143"/>
      <c r="I157" s="589"/>
    </row>
    <row r="158" spans="1:9" ht="24" customHeight="1">
      <c r="A158" s="1036"/>
      <c r="B158" s="141" t="s">
        <v>15</v>
      </c>
      <c r="C158" s="140" t="s">
        <v>673</v>
      </c>
      <c r="D158" s="141" t="s">
        <v>674</v>
      </c>
      <c r="E158" s="141" t="s">
        <v>926</v>
      </c>
      <c r="F158" s="142">
        <v>76456</v>
      </c>
      <c r="G158" s="142">
        <v>91101</v>
      </c>
      <c r="H158" s="143">
        <f>(G158-F158)*100/F158</f>
        <v>19.15480799414042</v>
      </c>
      <c r="I158" s="589"/>
    </row>
    <row r="159" spans="1:9" ht="9" customHeight="1">
      <c r="A159" s="512"/>
      <c r="B159" s="225"/>
      <c r="C159" s="112"/>
      <c r="D159" s="178"/>
      <c r="E159" s="178"/>
      <c r="F159" s="179"/>
      <c r="G159" s="179"/>
      <c r="H159" s="229"/>
      <c r="I159" s="589"/>
    </row>
    <row r="160" spans="1:9" ht="36">
      <c r="A160" s="1036" t="s">
        <v>675</v>
      </c>
      <c r="B160" s="222"/>
      <c r="C160" s="230" t="s">
        <v>676</v>
      </c>
      <c r="D160" s="231"/>
      <c r="E160" s="189"/>
      <c r="F160" s="232"/>
      <c r="G160" s="232"/>
      <c r="H160" s="143"/>
      <c r="I160" s="589"/>
    </row>
    <row r="161" spans="1:9" ht="57.75" customHeight="1">
      <c r="A161" s="1036"/>
      <c r="B161" s="141" t="s">
        <v>15</v>
      </c>
      <c r="C161" s="233" t="s">
        <v>532</v>
      </c>
      <c r="D161" s="141" t="s">
        <v>533</v>
      </c>
      <c r="E161" s="141" t="s">
        <v>926</v>
      </c>
      <c r="F161" s="142">
        <v>1165109</v>
      </c>
      <c r="G161" s="142">
        <v>1162470</v>
      </c>
      <c r="H161" s="143">
        <f>(G161-F161)*100/F161</f>
        <v>-0.22650241307894797</v>
      </c>
      <c r="I161" s="589"/>
    </row>
    <row r="162" spans="1:9" ht="57" customHeight="1">
      <c r="A162" s="1036"/>
      <c r="B162" s="141" t="s">
        <v>909</v>
      </c>
      <c r="C162" s="233" t="s">
        <v>534</v>
      </c>
      <c r="D162" s="141" t="s">
        <v>535</v>
      </c>
      <c r="E162" s="141" t="s">
        <v>926</v>
      </c>
      <c r="F162" s="142">
        <v>981157</v>
      </c>
      <c r="G162" s="142">
        <v>976669</v>
      </c>
      <c r="H162" s="143">
        <f>(G162-F162)*100/F162</f>
        <v>-0.4574191490250796</v>
      </c>
      <c r="I162" s="589"/>
    </row>
    <row r="163" spans="1:9" ht="9" customHeight="1">
      <c r="A163" s="550"/>
      <c r="B163" s="178"/>
      <c r="C163" s="234"/>
      <c r="D163" s="178"/>
      <c r="E163" s="178"/>
      <c r="F163" s="179"/>
      <c r="G163" s="179"/>
      <c r="H163" s="143"/>
      <c r="I163" s="589"/>
    </row>
    <row r="164" spans="1:9" ht="54">
      <c r="A164" s="513" t="s">
        <v>59</v>
      </c>
      <c r="B164" s="141"/>
      <c r="C164" s="233" t="s">
        <v>1259</v>
      </c>
      <c r="D164" s="141" t="s">
        <v>1260</v>
      </c>
      <c r="E164" s="141" t="s">
        <v>926</v>
      </c>
      <c r="F164" s="142">
        <v>1201305</v>
      </c>
      <c r="G164" s="142">
        <v>1201222</v>
      </c>
      <c r="H164" s="143">
        <f>(G164-F164)*100/F164</f>
        <v>-0.0069091529628196</v>
      </c>
      <c r="I164" s="235"/>
    </row>
    <row r="165" spans="1:9" ht="9" customHeight="1">
      <c r="A165" s="550"/>
      <c r="B165" s="178"/>
      <c r="C165" s="234"/>
      <c r="D165" s="178"/>
      <c r="E165" s="178"/>
      <c r="F165" s="179"/>
      <c r="G165" s="179"/>
      <c r="H165" s="143"/>
      <c r="I165" s="589"/>
    </row>
    <row r="166" spans="1:9" ht="54">
      <c r="A166" s="513" t="s">
        <v>872</v>
      </c>
      <c r="B166" s="141"/>
      <c r="C166" s="233" t="s">
        <v>1261</v>
      </c>
      <c r="D166" s="141" t="s">
        <v>1262</v>
      </c>
      <c r="E166" s="141" t="s">
        <v>926</v>
      </c>
      <c r="F166" s="142">
        <v>12614</v>
      </c>
      <c r="G166" s="142">
        <v>12703</v>
      </c>
      <c r="H166" s="143">
        <f>(G166-F166)*100/F166</f>
        <v>0.7055652449659109</v>
      </c>
      <c r="I166" s="235"/>
    </row>
    <row r="167" spans="1:9" ht="9" customHeight="1">
      <c r="A167" s="236"/>
      <c r="B167" s="204"/>
      <c r="C167" s="204"/>
      <c r="D167" s="205"/>
      <c r="E167" s="204"/>
      <c r="F167" s="206"/>
      <c r="G167" s="206"/>
      <c r="H167" s="159"/>
      <c r="I167" s="589"/>
    </row>
    <row r="168" spans="1:9" ht="18">
      <c r="A168" s="1045" t="s">
        <v>536</v>
      </c>
      <c r="B168" s="1046"/>
      <c r="C168" s="1046"/>
      <c r="D168" s="237"/>
      <c r="E168" s="93"/>
      <c r="F168" s="166"/>
      <c r="G168" s="166"/>
      <c r="H168" s="159"/>
      <c r="I168" s="11"/>
    </row>
    <row r="169" spans="1:9" ht="9" customHeight="1">
      <c r="A169" s="238"/>
      <c r="B169" s="218"/>
      <c r="C169" s="220"/>
      <c r="D169" s="219"/>
      <c r="E169" s="220"/>
      <c r="F169" s="221"/>
      <c r="G169" s="221"/>
      <c r="H169" s="159"/>
      <c r="I169" s="11"/>
    </row>
    <row r="170" spans="1:9" ht="36">
      <c r="A170" s="1033" t="s">
        <v>537</v>
      </c>
      <c r="B170" s="239"/>
      <c r="C170" s="239" t="s">
        <v>1060</v>
      </c>
      <c r="D170" s="630"/>
      <c r="E170" s="161"/>
      <c r="F170" s="151"/>
      <c r="G170" s="151"/>
      <c r="H170" s="143"/>
      <c r="I170" s="11"/>
    </row>
    <row r="171" spans="1:9" ht="9" customHeight="1">
      <c r="A171" s="1034"/>
      <c r="B171" s="152"/>
      <c r="C171" s="153"/>
      <c r="D171" s="629"/>
      <c r="E171" s="153"/>
      <c r="F171" s="155"/>
      <c r="G171" s="155"/>
      <c r="H171" s="143"/>
      <c r="I171" s="11"/>
    </row>
    <row r="172" spans="1:9" ht="18">
      <c r="A172" s="1034"/>
      <c r="B172" s="141" t="s">
        <v>15</v>
      </c>
      <c r="C172" s="140" t="s">
        <v>66</v>
      </c>
      <c r="D172" s="141" t="s">
        <v>539</v>
      </c>
      <c r="E172" s="141" t="s">
        <v>926</v>
      </c>
      <c r="F172" s="142">
        <v>122057</v>
      </c>
      <c r="G172" s="142">
        <v>128546</v>
      </c>
      <c r="H172" s="143">
        <f>(G172-F172)*100/F172</f>
        <v>5.316368581892067</v>
      </c>
      <c r="I172" s="11"/>
    </row>
    <row r="173" spans="1:9" ht="18">
      <c r="A173" s="1034"/>
      <c r="B173" s="141" t="s">
        <v>909</v>
      </c>
      <c r="C173" s="140" t="s">
        <v>67</v>
      </c>
      <c r="D173" s="141" t="s">
        <v>541</v>
      </c>
      <c r="E173" s="141" t="s">
        <v>926</v>
      </c>
      <c r="F173" s="142">
        <v>179594</v>
      </c>
      <c r="G173" s="142">
        <v>192886</v>
      </c>
      <c r="H173" s="143">
        <f>(G173-F173)*100/F173</f>
        <v>7.401138122654432</v>
      </c>
      <c r="I173" s="11"/>
    </row>
    <row r="174" spans="1:9" ht="36">
      <c r="A174" s="1034"/>
      <c r="B174" s="141" t="s">
        <v>158</v>
      </c>
      <c r="C174" s="140" t="s">
        <v>542</v>
      </c>
      <c r="D174" s="141" t="s">
        <v>432</v>
      </c>
      <c r="E174" s="141" t="s">
        <v>926</v>
      </c>
      <c r="F174" s="142">
        <v>252605</v>
      </c>
      <c r="G174" s="142">
        <v>276788</v>
      </c>
      <c r="H174" s="143">
        <f>(G174-F174)*100/F174</f>
        <v>9.573444706161794</v>
      </c>
      <c r="I174" s="11"/>
    </row>
    <row r="175" spans="1:9" ht="36">
      <c r="A175" s="1035"/>
      <c r="B175" s="141" t="s">
        <v>159</v>
      </c>
      <c r="C175" s="140" t="s">
        <v>1061</v>
      </c>
      <c r="D175" s="141" t="s">
        <v>1197</v>
      </c>
      <c r="E175" s="141" t="s">
        <v>926</v>
      </c>
      <c r="F175" s="142">
        <v>389069</v>
      </c>
      <c r="G175" s="142">
        <v>423998</v>
      </c>
      <c r="H175" s="143">
        <f>(G175-F175)*100/F175</f>
        <v>8.977584952797576</v>
      </c>
      <c r="I175" s="11"/>
    </row>
    <row r="176" spans="1:9" ht="9" customHeight="1">
      <c r="A176" s="141"/>
      <c r="B176" s="145"/>
      <c r="C176" s="146"/>
      <c r="D176" s="313"/>
      <c r="E176" s="146"/>
      <c r="F176" s="148"/>
      <c r="G176" s="148"/>
      <c r="H176" s="143"/>
      <c r="I176" s="11"/>
    </row>
    <row r="177" spans="1:9" ht="36">
      <c r="A177" s="1033" t="s">
        <v>1198</v>
      </c>
      <c r="B177" s="140"/>
      <c r="C177" s="239" t="s">
        <v>1060</v>
      </c>
      <c r="D177" s="630"/>
      <c r="E177" s="161"/>
      <c r="F177" s="151"/>
      <c r="G177" s="151"/>
      <c r="H177" s="143"/>
      <c r="I177" s="11"/>
    </row>
    <row r="178" spans="1:9" ht="36">
      <c r="A178" s="1034"/>
      <c r="B178" s="141" t="s">
        <v>15</v>
      </c>
      <c r="C178" s="140" t="s">
        <v>1199</v>
      </c>
      <c r="D178" s="182" t="s">
        <v>1200</v>
      </c>
      <c r="E178" s="182" t="s">
        <v>926</v>
      </c>
      <c r="F178" s="202">
        <v>145284</v>
      </c>
      <c r="G178" s="202">
        <v>162958</v>
      </c>
      <c r="H178" s="143">
        <f>(G178-F178)*100/F178</f>
        <v>12.165138625037857</v>
      </c>
      <c r="I178" s="11"/>
    </row>
    <row r="179" spans="1:9" ht="36">
      <c r="A179" s="1034"/>
      <c r="B179" s="141" t="s">
        <v>909</v>
      </c>
      <c r="C179" s="140" t="s">
        <v>1201</v>
      </c>
      <c r="D179" s="141" t="s">
        <v>1202</v>
      </c>
      <c r="E179" s="141" t="s">
        <v>926</v>
      </c>
      <c r="F179" s="142">
        <v>202821</v>
      </c>
      <c r="G179" s="142">
        <v>227299</v>
      </c>
      <c r="H179" s="143">
        <f>(G179-F179)*100/F179</f>
        <v>12.068769999161823</v>
      </c>
      <c r="I179" s="11"/>
    </row>
    <row r="180" spans="1:9" ht="36">
      <c r="A180" s="1034"/>
      <c r="B180" s="141" t="s">
        <v>158</v>
      </c>
      <c r="C180" s="140" t="s">
        <v>1314</v>
      </c>
      <c r="D180" s="141" t="s">
        <v>1315</v>
      </c>
      <c r="E180" s="141" t="s">
        <v>926</v>
      </c>
      <c r="F180" s="142">
        <v>251484</v>
      </c>
      <c r="G180" s="142">
        <v>277302</v>
      </c>
      <c r="H180" s="143">
        <f>(G180-F180)*100/F180</f>
        <v>10.26625948370473</v>
      </c>
      <c r="I180" s="11"/>
    </row>
    <row r="181" spans="1:9" ht="36">
      <c r="A181" s="1035"/>
      <c r="B181" s="170" t="s">
        <v>159</v>
      </c>
      <c r="C181" s="169" t="s">
        <v>77</v>
      </c>
      <c r="D181" s="240" t="s">
        <v>78</v>
      </c>
      <c r="E181" s="170" t="s">
        <v>926</v>
      </c>
      <c r="F181" s="171">
        <v>388348</v>
      </c>
      <c r="G181" s="171">
        <v>425192</v>
      </c>
      <c r="H181" s="143">
        <f>(G181-F181)*100/F181</f>
        <v>9.487367000731302</v>
      </c>
      <c r="I181" s="11"/>
    </row>
    <row r="182" spans="1:9" ht="9" customHeight="1">
      <c r="A182" s="141"/>
      <c r="B182" s="184"/>
      <c r="C182" s="186"/>
      <c r="D182" s="185"/>
      <c r="E182" s="186"/>
      <c r="F182" s="187"/>
      <c r="G182" s="187"/>
      <c r="H182" s="143"/>
      <c r="I182" s="11"/>
    </row>
    <row r="183" spans="1:9" ht="76.5" customHeight="1">
      <c r="A183" s="1033" t="s">
        <v>79</v>
      </c>
      <c r="B183" s="141"/>
      <c r="C183" s="140" t="s">
        <v>253</v>
      </c>
      <c r="D183" s="241"/>
      <c r="E183" s="186"/>
      <c r="F183" s="187"/>
      <c r="G183" s="187"/>
      <c r="H183" s="143"/>
      <c r="I183" s="11"/>
    </row>
    <row r="184" spans="1:9" ht="36">
      <c r="A184" s="1034"/>
      <c r="B184" s="141" t="s">
        <v>15</v>
      </c>
      <c r="C184" s="140" t="s">
        <v>1199</v>
      </c>
      <c r="D184" s="141" t="s">
        <v>254</v>
      </c>
      <c r="E184" s="141" t="s">
        <v>926</v>
      </c>
      <c r="F184" s="142">
        <v>92936</v>
      </c>
      <c r="G184" s="142">
        <v>109049</v>
      </c>
      <c r="H184" s="143">
        <f>(G184-F184)*100/F184</f>
        <v>17.337737798054576</v>
      </c>
      <c r="I184" s="11"/>
    </row>
    <row r="185" spans="1:9" ht="36">
      <c r="A185" s="1034"/>
      <c r="B185" s="141" t="s">
        <v>909</v>
      </c>
      <c r="C185" s="140" t="s">
        <v>255</v>
      </c>
      <c r="D185" s="141" t="s">
        <v>256</v>
      </c>
      <c r="E185" s="141" t="s">
        <v>926</v>
      </c>
      <c r="F185" s="142">
        <v>109779</v>
      </c>
      <c r="G185" s="142">
        <v>130057</v>
      </c>
      <c r="H185" s="143">
        <f>(G185-F185)*100/F185</f>
        <v>18.471656692081364</v>
      </c>
      <c r="I185" s="11"/>
    </row>
    <row r="186" spans="1:9" ht="36">
      <c r="A186" s="1034"/>
      <c r="B186" s="141" t="s">
        <v>158</v>
      </c>
      <c r="C186" s="140" t="s">
        <v>277</v>
      </c>
      <c r="D186" s="141" t="s">
        <v>278</v>
      </c>
      <c r="E186" s="141" t="s">
        <v>926</v>
      </c>
      <c r="F186" s="142">
        <v>128809</v>
      </c>
      <c r="G186" s="142">
        <v>149338</v>
      </c>
      <c r="H186" s="143">
        <f>(G186-F186)*100/F186</f>
        <v>15.937550947526958</v>
      </c>
      <c r="I186" s="11"/>
    </row>
    <row r="187" spans="1:9" ht="36">
      <c r="A187" s="1035"/>
      <c r="B187" s="141" t="s">
        <v>159</v>
      </c>
      <c r="C187" s="140" t="s">
        <v>279</v>
      </c>
      <c r="D187" s="141" t="s">
        <v>280</v>
      </c>
      <c r="E187" s="141" t="s">
        <v>926</v>
      </c>
      <c r="F187" s="142">
        <v>162999</v>
      </c>
      <c r="G187" s="142">
        <v>184572</v>
      </c>
      <c r="H187" s="143">
        <f>(G187-F187)*100/F187</f>
        <v>13.235050521782343</v>
      </c>
      <c r="I187" s="11"/>
    </row>
    <row r="188" spans="1:9" ht="9" customHeight="1">
      <c r="A188" s="141"/>
      <c r="B188" s="242"/>
      <c r="C188" s="243"/>
      <c r="D188" s="244"/>
      <c r="E188" s="243"/>
      <c r="F188" s="221"/>
      <c r="G188" s="221"/>
      <c r="H188" s="143"/>
      <c r="I188" s="11"/>
    </row>
    <row r="189" spans="1:9" ht="23.25" customHeight="1">
      <c r="A189" s="1033" t="s">
        <v>281</v>
      </c>
      <c r="B189" s="141"/>
      <c r="C189" s="140" t="s">
        <v>282</v>
      </c>
      <c r="D189" s="241"/>
      <c r="E189" s="186"/>
      <c r="F189" s="187"/>
      <c r="G189" s="187"/>
      <c r="H189" s="143"/>
      <c r="I189" s="11"/>
    </row>
    <row r="190" spans="1:9" ht="36">
      <c r="A190" s="1034"/>
      <c r="B190" s="141" t="s">
        <v>15</v>
      </c>
      <c r="C190" s="140" t="s">
        <v>283</v>
      </c>
      <c r="D190" s="141" t="s">
        <v>284</v>
      </c>
      <c r="E190" s="141" t="s">
        <v>926</v>
      </c>
      <c r="F190" s="202">
        <v>25627</v>
      </c>
      <c r="G190" s="202">
        <v>28748</v>
      </c>
      <c r="H190" s="143">
        <f>(G190-F190)*100/F190</f>
        <v>12.17856167323526</v>
      </c>
      <c r="I190" s="11"/>
    </row>
    <row r="191" spans="1:9" ht="36">
      <c r="A191" s="1034"/>
      <c r="B191" s="141" t="s">
        <v>909</v>
      </c>
      <c r="C191" s="140" t="s">
        <v>285</v>
      </c>
      <c r="D191" s="141" t="s">
        <v>286</v>
      </c>
      <c r="E191" s="141" t="s">
        <v>926</v>
      </c>
      <c r="F191" s="202">
        <v>42396</v>
      </c>
      <c r="G191" s="202">
        <v>46852</v>
      </c>
      <c r="H191" s="143">
        <f>(G191-F191)*100/F191</f>
        <v>10.51042551184074</v>
      </c>
      <c r="I191" s="11"/>
    </row>
    <row r="192" spans="1:9" ht="36">
      <c r="A192" s="1034"/>
      <c r="B192" s="141" t="s">
        <v>158</v>
      </c>
      <c r="C192" s="140" t="s">
        <v>287</v>
      </c>
      <c r="D192" s="141" t="s">
        <v>1053</v>
      </c>
      <c r="E192" s="141" t="s">
        <v>926</v>
      </c>
      <c r="F192" s="202">
        <v>52257</v>
      </c>
      <c r="G192" s="202">
        <v>57469</v>
      </c>
      <c r="H192" s="143">
        <f>(G192-F192)*100/F192</f>
        <v>9.97378341657577</v>
      </c>
      <c r="I192" s="11"/>
    </row>
    <row r="193" spans="1:10" ht="36">
      <c r="A193" s="1034"/>
      <c r="B193" s="141" t="s">
        <v>159</v>
      </c>
      <c r="C193" s="140" t="s">
        <v>1054</v>
      </c>
      <c r="D193" s="141" t="s">
        <v>1055</v>
      </c>
      <c r="E193" s="141" t="s">
        <v>926</v>
      </c>
      <c r="F193" s="202">
        <v>85139</v>
      </c>
      <c r="G193" s="202">
        <v>91200</v>
      </c>
      <c r="H193" s="143">
        <f>(G193-F193)*100/F193</f>
        <v>7.1189466636911405</v>
      </c>
      <c r="I193" s="11"/>
      <c r="J193" s="623"/>
    </row>
    <row r="194" spans="1:9" ht="36">
      <c r="A194" s="1035"/>
      <c r="B194" s="170" t="s">
        <v>160</v>
      </c>
      <c r="C194" s="169" t="s">
        <v>1056</v>
      </c>
      <c r="D194" s="170" t="s">
        <v>1057</v>
      </c>
      <c r="E194" s="170" t="s">
        <v>926</v>
      </c>
      <c r="F194" s="210">
        <v>97926</v>
      </c>
      <c r="G194" s="210">
        <v>85285</v>
      </c>
      <c r="H194" s="143">
        <f>(G194-F194)*100/F194</f>
        <v>-12.908726997937219</v>
      </c>
      <c r="I194" s="11"/>
    </row>
    <row r="195" spans="1:9" ht="9" customHeight="1">
      <c r="A195" s="141"/>
      <c r="B195" s="150"/>
      <c r="C195" s="161"/>
      <c r="D195" s="632"/>
      <c r="E195" s="161"/>
      <c r="F195" s="151"/>
      <c r="G195" s="151"/>
      <c r="H195" s="143"/>
      <c r="I195" s="11"/>
    </row>
    <row r="196" spans="1:9" ht="37.5" customHeight="1">
      <c r="A196" s="1036" t="s">
        <v>1058</v>
      </c>
      <c r="B196" s="182"/>
      <c r="C196" s="245" t="s">
        <v>1062</v>
      </c>
      <c r="D196" s="630"/>
      <c r="E196" s="161"/>
      <c r="F196" s="151"/>
      <c r="G196" s="151"/>
      <c r="H196" s="143"/>
      <c r="I196" s="11"/>
    </row>
    <row r="197" spans="1:9" ht="19.5" customHeight="1">
      <c r="A197" s="1036"/>
      <c r="B197" s="141" t="s">
        <v>15</v>
      </c>
      <c r="C197" s="140" t="s">
        <v>538</v>
      </c>
      <c r="D197" s="182" t="s">
        <v>1059</v>
      </c>
      <c r="E197" s="182" t="s">
        <v>926</v>
      </c>
      <c r="F197" s="202">
        <v>122180</v>
      </c>
      <c r="G197" s="202">
        <v>128546</v>
      </c>
      <c r="H197" s="143">
        <f aca="true" t="shared" si="0" ref="H197:H205">(G197-F197)*100/F197</f>
        <v>5.210345392044524</v>
      </c>
      <c r="I197" s="11"/>
    </row>
    <row r="198" spans="1:9" ht="19.5" customHeight="1">
      <c r="A198" s="1036"/>
      <c r="B198" s="141" t="s">
        <v>909</v>
      </c>
      <c r="C198" s="140" t="s">
        <v>540</v>
      </c>
      <c r="D198" s="141" t="s">
        <v>1105</v>
      </c>
      <c r="E198" s="141" t="s">
        <v>926</v>
      </c>
      <c r="F198" s="142">
        <v>179145</v>
      </c>
      <c r="G198" s="142">
        <v>189669</v>
      </c>
      <c r="H198" s="143">
        <f t="shared" si="0"/>
        <v>5.874570878338776</v>
      </c>
      <c r="I198" s="11"/>
    </row>
    <row r="199" spans="1:9" ht="36">
      <c r="A199" s="1036"/>
      <c r="B199" s="141" t="s">
        <v>158</v>
      </c>
      <c r="C199" s="140" t="s">
        <v>542</v>
      </c>
      <c r="D199" s="141" t="s">
        <v>1106</v>
      </c>
      <c r="E199" s="141" t="s">
        <v>926</v>
      </c>
      <c r="F199" s="142">
        <v>251513</v>
      </c>
      <c r="G199" s="142">
        <v>272534</v>
      </c>
      <c r="H199" s="143">
        <f t="shared" si="0"/>
        <v>8.357818482543646</v>
      </c>
      <c r="I199" s="11"/>
    </row>
    <row r="200" spans="1:9" ht="36">
      <c r="A200" s="1036"/>
      <c r="B200" s="141" t="s">
        <v>159</v>
      </c>
      <c r="C200" s="140" t="s">
        <v>1061</v>
      </c>
      <c r="D200" s="141" t="s">
        <v>1107</v>
      </c>
      <c r="E200" s="141" t="s">
        <v>926</v>
      </c>
      <c r="F200" s="142">
        <v>379506</v>
      </c>
      <c r="G200" s="142">
        <v>412495</v>
      </c>
      <c r="H200" s="143">
        <f t="shared" si="0"/>
        <v>8.692616190521361</v>
      </c>
      <c r="I200" s="11"/>
    </row>
    <row r="201" spans="1:9" ht="9" customHeight="1">
      <c r="A201" s="511"/>
      <c r="B201" s="141"/>
      <c r="C201" s="140"/>
      <c r="D201" s="141"/>
      <c r="E201" s="141"/>
      <c r="F201" s="142"/>
      <c r="G201" s="142"/>
      <c r="H201" s="143"/>
      <c r="I201" s="11"/>
    </row>
    <row r="202" spans="1:9" ht="36">
      <c r="A202" s="1036" t="s">
        <v>1108</v>
      </c>
      <c r="B202" s="141" t="s">
        <v>160</v>
      </c>
      <c r="C202" s="140" t="s">
        <v>1199</v>
      </c>
      <c r="D202" s="141" t="s">
        <v>1094</v>
      </c>
      <c r="E202" s="141" t="s">
        <v>926</v>
      </c>
      <c r="F202" s="142">
        <v>145406</v>
      </c>
      <c r="G202" s="142">
        <v>162958</v>
      </c>
      <c r="H202" s="143">
        <f t="shared" si="0"/>
        <v>12.071028705830571</v>
      </c>
      <c r="I202" s="11"/>
    </row>
    <row r="203" spans="1:9" ht="36">
      <c r="A203" s="1036"/>
      <c r="B203" s="141" t="s">
        <v>161</v>
      </c>
      <c r="C203" s="140" t="s">
        <v>255</v>
      </c>
      <c r="D203" s="141" t="s">
        <v>1095</v>
      </c>
      <c r="E203" s="141" t="s">
        <v>926</v>
      </c>
      <c r="F203" s="142">
        <v>202372</v>
      </c>
      <c r="G203" s="142">
        <v>224082</v>
      </c>
      <c r="H203" s="143">
        <f t="shared" si="0"/>
        <v>10.72776866364912</v>
      </c>
      <c r="I203" s="11"/>
    </row>
    <row r="204" spans="1:9" ht="36">
      <c r="A204" s="1036"/>
      <c r="B204" s="141" t="s">
        <v>162</v>
      </c>
      <c r="C204" s="140" t="s">
        <v>1096</v>
      </c>
      <c r="D204" s="141" t="s">
        <v>1097</v>
      </c>
      <c r="E204" s="141" t="s">
        <v>926</v>
      </c>
      <c r="F204" s="142">
        <v>250195</v>
      </c>
      <c r="G204" s="142">
        <v>273048</v>
      </c>
      <c r="H204" s="143">
        <f t="shared" si="0"/>
        <v>9.134075421171486</v>
      </c>
      <c r="I204" s="11"/>
    </row>
    <row r="205" spans="1:9" ht="36">
      <c r="A205" s="1036"/>
      <c r="B205" s="141" t="s">
        <v>163</v>
      </c>
      <c r="C205" s="140" t="s">
        <v>1098</v>
      </c>
      <c r="D205" s="141" t="s">
        <v>1099</v>
      </c>
      <c r="E205" s="141" t="s">
        <v>926</v>
      </c>
      <c r="F205" s="142">
        <v>378784</v>
      </c>
      <c r="G205" s="142">
        <v>413689</v>
      </c>
      <c r="H205" s="143">
        <f t="shared" si="0"/>
        <v>9.215014361747064</v>
      </c>
      <c r="I205" s="11"/>
    </row>
    <row r="206" spans="1:9" ht="9" customHeight="1">
      <c r="A206" s="511"/>
      <c r="B206" s="141"/>
      <c r="C206" s="140"/>
      <c r="D206" s="141"/>
      <c r="E206" s="141"/>
      <c r="F206" s="142"/>
      <c r="G206" s="142"/>
      <c r="H206" s="143"/>
      <c r="I206" s="11"/>
    </row>
    <row r="207" spans="1:9" ht="54">
      <c r="A207" s="1033" t="s">
        <v>1039</v>
      </c>
      <c r="B207" s="141"/>
      <c r="C207" s="239" t="s">
        <v>1100</v>
      </c>
      <c r="D207" s="636"/>
      <c r="E207" s="112"/>
      <c r="F207" s="158"/>
      <c r="G207" s="158"/>
      <c r="H207" s="143"/>
      <c r="I207" s="11"/>
    </row>
    <row r="208" spans="1:9" ht="18">
      <c r="A208" s="1034"/>
      <c r="B208" s="141" t="s">
        <v>15</v>
      </c>
      <c r="C208" s="140" t="s">
        <v>1219</v>
      </c>
      <c r="D208" s="141" t="s">
        <v>153</v>
      </c>
      <c r="E208" s="141" t="s">
        <v>926</v>
      </c>
      <c r="F208" s="142">
        <v>139938</v>
      </c>
      <c r="G208" s="142">
        <v>145726</v>
      </c>
      <c r="H208" s="143">
        <f>(G208-F208)*100/F208</f>
        <v>4.136117423430377</v>
      </c>
      <c r="I208" s="11"/>
    </row>
    <row r="209" spans="1:9" ht="18">
      <c r="A209" s="1034"/>
      <c r="B209" s="141" t="s">
        <v>909</v>
      </c>
      <c r="C209" s="140" t="s">
        <v>1220</v>
      </c>
      <c r="D209" s="141" t="s">
        <v>154</v>
      </c>
      <c r="E209" s="141" t="s">
        <v>926</v>
      </c>
      <c r="F209" s="142">
        <v>218812</v>
      </c>
      <c r="G209" s="142">
        <v>237080</v>
      </c>
      <c r="H209" s="143">
        <f>(G209-F209)*100/F209</f>
        <v>8.348719448659123</v>
      </c>
      <c r="I209" s="11"/>
    </row>
    <row r="210" spans="1:9" ht="18">
      <c r="A210" s="1035"/>
      <c r="B210" s="141" t="s">
        <v>158</v>
      </c>
      <c r="C210" s="140" t="s">
        <v>389</v>
      </c>
      <c r="D210" s="141" t="s">
        <v>155</v>
      </c>
      <c r="E210" s="141" t="s">
        <v>926</v>
      </c>
      <c r="F210" s="142">
        <v>356753</v>
      </c>
      <c r="G210" s="142">
        <v>386625</v>
      </c>
      <c r="H210" s="143">
        <f>(G210-F210)*100/F210</f>
        <v>8.373300294601588</v>
      </c>
      <c r="I210" s="11"/>
    </row>
    <row r="211" spans="1:9" ht="36">
      <c r="A211" s="513" t="s">
        <v>1044</v>
      </c>
      <c r="B211" s="141" t="s">
        <v>15</v>
      </c>
      <c r="C211" s="140" t="s">
        <v>156</v>
      </c>
      <c r="D211" s="141" t="s">
        <v>157</v>
      </c>
      <c r="E211" s="141" t="s">
        <v>926</v>
      </c>
      <c r="F211" s="142">
        <v>120833</v>
      </c>
      <c r="G211" s="142">
        <v>127611</v>
      </c>
      <c r="H211" s="143">
        <f>(G211-F211)*100/F211</f>
        <v>5.609394784537336</v>
      </c>
      <c r="I211" s="11"/>
    </row>
    <row r="212" spans="1:9" ht="54">
      <c r="A212" s="1033" t="s">
        <v>1050</v>
      </c>
      <c r="B212" s="141"/>
      <c r="C212" s="239" t="s">
        <v>120</v>
      </c>
      <c r="D212" s="636"/>
      <c r="E212" s="112"/>
      <c r="F212" s="158"/>
      <c r="G212" s="158"/>
      <c r="H212" s="143"/>
      <c r="I212" s="11"/>
    </row>
    <row r="213" spans="1:9" ht="18">
      <c r="A213" s="1035"/>
      <c r="B213" s="141" t="s">
        <v>15</v>
      </c>
      <c r="C213" s="140" t="s">
        <v>1305</v>
      </c>
      <c r="D213" s="141" t="s">
        <v>920</v>
      </c>
      <c r="E213" s="141" t="s">
        <v>926</v>
      </c>
      <c r="F213" s="142">
        <v>98430</v>
      </c>
      <c r="G213" s="142">
        <v>105348</v>
      </c>
      <c r="H213" s="143">
        <f>(G213-F213)*100/F213</f>
        <v>7.028345016763182</v>
      </c>
      <c r="I213" s="11"/>
    </row>
    <row r="214" spans="1:9" ht="22.5" customHeight="1">
      <c r="A214" s="1033" t="s">
        <v>300</v>
      </c>
      <c r="B214" s="141"/>
      <c r="C214" s="239" t="s">
        <v>921</v>
      </c>
      <c r="D214" s="247"/>
      <c r="E214" s="112"/>
      <c r="F214" s="158"/>
      <c r="G214" s="158"/>
      <c r="H214" s="143"/>
      <c r="I214" s="11"/>
    </row>
    <row r="215" spans="1:9" ht="18">
      <c r="A215" s="1034"/>
      <c r="B215" s="141" t="s">
        <v>15</v>
      </c>
      <c r="C215" s="140" t="s">
        <v>285</v>
      </c>
      <c r="D215" s="141" t="s">
        <v>922</v>
      </c>
      <c r="E215" s="141" t="s">
        <v>926</v>
      </c>
      <c r="F215" s="142">
        <v>226361</v>
      </c>
      <c r="G215" s="142">
        <v>242860</v>
      </c>
      <c r="H215" s="143">
        <f>(G215-F215)*100/F215</f>
        <v>7.288799749073383</v>
      </c>
      <c r="I215" s="11"/>
    </row>
    <row r="216" spans="1:9" ht="18">
      <c r="A216" s="1034"/>
      <c r="B216" s="141" t="s">
        <v>909</v>
      </c>
      <c r="C216" s="140" t="s">
        <v>287</v>
      </c>
      <c r="D216" s="141" t="s">
        <v>923</v>
      </c>
      <c r="E216" s="141" t="s">
        <v>926</v>
      </c>
      <c r="F216" s="142">
        <v>274879</v>
      </c>
      <c r="G216" s="142">
        <v>291894</v>
      </c>
      <c r="H216" s="143">
        <f>(G216-F216)*100/F216</f>
        <v>6.189996325656016</v>
      </c>
      <c r="I216" s="11"/>
    </row>
    <row r="217" spans="1:9" ht="18">
      <c r="A217" s="1035"/>
      <c r="B217" s="141" t="s">
        <v>158</v>
      </c>
      <c r="C217" s="140" t="s">
        <v>1054</v>
      </c>
      <c r="D217" s="141" t="s">
        <v>924</v>
      </c>
      <c r="E217" s="141" t="s">
        <v>926</v>
      </c>
      <c r="F217" s="142">
        <v>432920</v>
      </c>
      <c r="G217" s="142">
        <v>470402</v>
      </c>
      <c r="H217" s="143">
        <f>(G217-F217)*100/F217</f>
        <v>8.65795066063014</v>
      </c>
      <c r="I217" s="11"/>
    </row>
    <row r="218" spans="1:9" ht="9" customHeight="1">
      <c r="A218" s="249"/>
      <c r="B218" s="203"/>
      <c r="C218" s="204"/>
      <c r="D218" s="205"/>
      <c r="E218" s="204"/>
      <c r="F218" s="206"/>
      <c r="G218" s="206"/>
      <c r="H218" s="159"/>
      <c r="I218" s="589"/>
    </row>
    <row r="219" spans="1:9" ht="18">
      <c r="A219" s="1040" t="s">
        <v>925</v>
      </c>
      <c r="B219" s="1041"/>
      <c r="C219" s="1041"/>
      <c r="D219" s="219"/>
      <c r="E219" s="220"/>
      <c r="F219" s="221"/>
      <c r="G219" s="221"/>
      <c r="H219" s="159"/>
      <c r="I219" s="11"/>
    </row>
    <row r="220" spans="1:9" ht="40.5" customHeight="1">
      <c r="A220" s="1033" t="s">
        <v>388</v>
      </c>
      <c r="B220" s="140"/>
      <c r="C220" s="239" t="s">
        <v>889</v>
      </c>
      <c r="D220" s="250"/>
      <c r="E220" s="190"/>
      <c r="F220" s="187"/>
      <c r="G220" s="187"/>
      <c r="H220" s="143"/>
      <c r="I220" s="11"/>
    </row>
    <row r="221" spans="1:9" ht="9" customHeight="1">
      <c r="A221" s="1034"/>
      <c r="B221" s="152"/>
      <c r="C221" s="153"/>
      <c r="D221" s="629"/>
      <c r="E221" s="153"/>
      <c r="F221" s="155"/>
      <c r="G221" s="155"/>
      <c r="H221" s="143"/>
      <c r="I221" s="11"/>
    </row>
    <row r="222" spans="1:9" ht="18">
      <c r="A222" s="1034"/>
      <c r="B222" s="141" t="s">
        <v>15</v>
      </c>
      <c r="C222" s="140" t="s">
        <v>890</v>
      </c>
      <c r="D222" s="141" t="s">
        <v>891</v>
      </c>
      <c r="E222" s="141" t="s">
        <v>1035</v>
      </c>
      <c r="F222" s="142">
        <v>284622</v>
      </c>
      <c r="G222" s="142">
        <v>324077</v>
      </c>
      <c r="H222" s="143">
        <f>(G222-F222)*100/F222</f>
        <v>13.862245364026673</v>
      </c>
      <c r="I222" s="11"/>
    </row>
    <row r="223" spans="1:9" ht="18">
      <c r="A223" s="1034"/>
      <c r="B223" s="141" t="s">
        <v>909</v>
      </c>
      <c r="C223" s="140" t="s">
        <v>892</v>
      </c>
      <c r="D223" s="141" t="s">
        <v>893</v>
      </c>
      <c r="E223" s="141" t="s">
        <v>1035</v>
      </c>
      <c r="F223" s="142">
        <v>266104</v>
      </c>
      <c r="G223" s="142">
        <v>301755</v>
      </c>
      <c r="H223" s="143">
        <f>(G223-F223)*100/F223</f>
        <v>13.397393500285602</v>
      </c>
      <c r="I223" s="11"/>
    </row>
    <row r="224" spans="1:9" ht="18">
      <c r="A224" s="1034"/>
      <c r="B224" s="141" t="s">
        <v>158</v>
      </c>
      <c r="C224" s="140" t="s">
        <v>894</v>
      </c>
      <c r="D224" s="141" t="s">
        <v>895</v>
      </c>
      <c r="E224" s="141" t="s">
        <v>1035</v>
      </c>
      <c r="F224" s="142">
        <v>236132</v>
      </c>
      <c r="G224" s="142">
        <v>264152</v>
      </c>
      <c r="H224" s="143">
        <f>(G224-F224)*100/F224</f>
        <v>11.866244304033337</v>
      </c>
      <c r="I224" s="11"/>
    </row>
    <row r="225" spans="1:9" ht="18">
      <c r="A225" s="1034"/>
      <c r="B225" s="141" t="s">
        <v>159</v>
      </c>
      <c r="C225" s="140" t="s">
        <v>943</v>
      </c>
      <c r="D225" s="141" t="s">
        <v>944</v>
      </c>
      <c r="E225" s="141" t="s">
        <v>1035</v>
      </c>
      <c r="F225" s="142">
        <v>229736</v>
      </c>
      <c r="G225" s="142">
        <v>256812</v>
      </c>
      <c r="H225" s="143">
        <f>(G225-F225)*100/F225</f>
        <v>11.785701849078944</v>
      </c>
      <c r="I225" s="11"/>
    </row>
    <row r="226" spans="1:9" ht="18">
      <c r="A226" s="1035"/>
      <c r="B226" s="170" t="s">
        <v>160</v>
      </c>
      <c r="C226" s="169" t="s">
        <v>933</v>
      </c>
      <c r="D226" s="170" t="s">
        <v>934</v>
      </c>
      <c r="E226" s="170" t="s">
        <v>1035</v>
      </c>
      <c r="F226" s="171">
        <v>210548</v>
      </c>
      <c r="G226" s="171">
        <v>234790</v>
      </c>
      <c r="H226" s="143">
        <f>(G226-F226)*100/F226</f>
        <v>11.513764082299524</v>
      </c>
      <c r="I226" s="11"/>
    </row>
    <row r="227" spans="1:9" ht="9" customHeight="1">
      <c r="A227" s="251"/>
      <c r="B227" s="212"/>
      <c r="C227" s="213"/>
      <c r="D227" s="637"/>
      <c r="E227" s="213"/>
      <c r="F227" s="215"/>
      <c r="G227" s="215"/>
      <c r="H227" s="143"/>
      <c r="I227" s="589"/>
    </row>
    <row r="228" spans="1:9" ht="40.5" customHeight="1">
      <c r="A228" s="1033" t="s">
        <v>1039</v>
      </c>
      <c r="B228" s="140"/>
      <c r="C228" s="239" t="s">
        <v>935</v>
      </c>
      <c r="D228" s="250"/>
      <c r="E228" s="190"/>
      <c r="F228" s="187"/>
      <c r="G228" s="187"/>
      <c r="H228" s="143"/>
      <c r="I228" s="11"/>
    </row>
    <row r="229" spans="1:9" ht="9" customHeight="1">
      <c r="A229" s="1034"/>
      <c r="B229" s="152"/>
      <c r="C229" s="153"/>
      <c r="D229" s="629"/>
      <c r="E229" s="153"/>
      <c r="F229" s="155"/>
      <c r="G229" s="155"/>
      <c r="H229" s="143"/>
      <c r="I229" s="11"/>
    </row>
    <row r="230" spans="1:9" ht="18">
      <c r="A230" s="1034"/>
      <c r="B230" s="141" t="s">
        <v>15</v>
      </c>
      <c r="C230" s="140" t="s">
        <v>936</v>
      </c>
      <c r="D230" s="141" t="s">
        <v>937</v>
      </c>
      <c r="E230" s="141" t="s">
        <v>1035</v>
      </c>
      <c r="F230" s="142">
        <v>246745</v>
      </c>
      <c r="G230" s="142">
        <v>279348</v>
      </c>
      <c r="H230" s="143">
        <f>(G230-F230)*100/F230</f>
        <v>13.213236337109162</v>
      </c>
      <c r="I230" s="11"/>
    </row>
    <row r="231" spans="1:9" ht="18">
      <c r="A231" s="1034"/>
      <c r="B231" s="141" t="s">
        <v>909</v>
      </c>
      <c r="C231" s="140" t="s">
        <v>938</v>
      </c>
      <c r="D231" s="141" t="s">
        <v>939</v>
      </c>
      <c r="E231" s="141" t="s">
        <v>1035</v>
      </c>
      <c r="F231" s="142">
        <v>210378</v>
      </c>
      <c r="G231" s="142">
        <v>234404</v>
      </c>
      <c r="H231" s="143">
        <f>(G231-F231)*100/F231</f>
        <v>11.420395668748633</v>
      </c>
      <c r="I231" s="11"/>
    </row>
    <row r="232" spans="1:9" ht="18">
      <c r="A232" s="1035"/>
      <c r="B232" s="170" t="s">
        <v>158</v>
      </c>
      <c r="C232" s="169" t="s">
        <v>940</v>
      </c>
      <c r="D232" s="170" t="s">
        <v>941</v>
      </c>
      <c r="E232" s="170" t="s">
        <v>1035</v>
      </c>
      <c r="F232" s="171">
        <v>191189</v>
      </c>
      <c r="G232" s="171">
        <v>212383</v>
      </c>
      <c r="H232" s="143">
        <f>(G232-F232)*100/F232</f>
        <v>11.085365789872847</v>
      </c>
      <c r="I232" s="11"/>
    </row>
    <row r="233" spans="1:9" ht="9" customHeight="1">
      <c r="A233" s="195"/>
      <c r="B233" s="212"/>
      <c r="C233" s="213"/>
      <c r="D233" s="214"/>
      <c r="E233" s="213"/>
      <c r="F233" s="215"/>
      <c r="G233" s="215"/>
      <c r="H233" s="143"/>
      <c r="I233" s="589"/>
    </row>
    <row r="234" spans="1:9" ht="40.5" customHeight="1">
      <c r="A234" s="1037" t="s">
        <v>1044</v>
      </c>
      <c r="B234" s="140"/>
      <c r="C234" s="239" t="s">
        <v>942</v>
      </c>
      <c r="D234" s="250"/>
      <c r="E234" s="190"/>
      <c r="F234" s="187"/>
      <c r="G234" s="187"/>
      <c r="H234" s="143"/>
      <c r="I234" s="11"/>
    </row>
    <row r="235" spans="1:9" ht="9" customHeight="1">
      <c r="A235" s="1038"/>
      <c r="B235" s="152"/>
      <c r="C235" s="153"/>
      <c r="D235" s="629"/>
      <c r="E235" s="153"/>
      <c r="F235" s="155"/>
      <c r="G235" s="155"/>
      <c r="H235" s="143"/>
      <c r="I235" s="11"/>
    </row>
    <row r="236" spans="1:9" ht="18">
      <c r="A236" s="1038"/>
      <c r="B236" s="141" t="s">
        <v>15</v>
      </c>
      <c r="C236" s="140" t="s">
        <v>1011</v>
      </c>
      <c r="D236" s="141" t="s">
        <v>1012</v>
      </c>
      <c r="E236" s="141" t="s">
        <v>1035</v>
      </c>
      <c r="F236" s="142">
        <v>195596</v>
      </c>
      <c r="G236" s="142">
        <v>218482</v>
      </c>
      <c r="H236" s="143">
        <f>(G236-F236)*100/F236</f>
        <v>11.70064827501585</v>
      </c>
      <c r="I236" s="11"/>
    </row>
    <row r="237" spans="1:9" ht="18">
      <c r="A237" s="1038"/>
      <c r="B237" s="141" t="s">
        <v>909</v>
      </c>
      <c r="C237" s="140" t="s">
        <v>1013</v>
      </c>
      <c r="D237" s="141" t="s">
        <v>1014</v>
      </c>
      <c r="E237" s="141" t="s">
        <v>1035</v>
      </c>
      <c r="F237" s="142">
        <v>183473</v>
      </c>
      <c r="G237" s="142">
        <v>203501</v>
      </c>
      <c r="H237" s="143">
        <f>(G237-F237)*100/F237</f>
        <v>10.916047592833824</v>
      </c>
      <c r="I237" s="11"/>
    </row>
    <row r="238" spans="1:9" ht="18">
      <c r="A238" s="1039"/>
      <c r="B238" s="170" t="s">
        <v>158</v>
      </c>
      <c r="C238" s="169" t="s">
        <v>1015</v>
      </c>
      <c r="D238" s="170" t="s">
        <v>1016</v>
      </c>
      <c r="E238" s="170" t="s">
        <v>1035</v>
      </c>
      <c r="F238" s="171">
        <v>170681</v>
      </c>
      <c r="G238" s="171">
        <v>188820</v>
      </c>
      <c r="H238" s="143">
        <f>(G238-F238)*100/F238</f>
        <v>10.627427774620491</v>
      </c>
      <c r="I238" s="11"/>
    </row>
    <row r="239" spans="1:9" ht="9" customHeight="1">
      <c r="A239" s="195"/>
      <c r="B239" s="212"/>
      <c r="C239" s="213"/>
      <c r="D239" s="214"/>
      <c r="E239" s="213"/>
      <c r="F239" s="215"/>
      <c r="G239" s="215"/>
      <c r="H239" s="143"/>
      <c r="I239" s="589"/>
    </row>
    <row r="240" spans="1:9" ht="57" customHeight="1">
      <c r="A240" s="513" t="s">
        <v>1050</v>
      </c>
      <c r="B240" s="208"/>
      <c r="C240" s="208" t="s">
        <v>530</v>
      </c>
      <c r="D240" s="209" t="s">
        <v>418</v>
      </c>
      <c r="E240" s="209" t="s">
        <v>1035</v>
      </c>
      <c r="F240" s="210">
        <v>382008</v>
      </c>
      <c r="G240" s="210">
        <v>442164</v>
      </c>
      <c r="H240" s="143">
        <f>(G240-F240)*100/F240</f>
        <v>15.747314192372935</v>
      </c>
      <c r="I240" s="11"/>
    </row>
    <row r="241" spans="1:9" ht="9" customHeight="1">
      <c r="A241" s="141"/>
      <c r="B241" s="150"/>
      <c r="C241" s="161"/>
      <c r="D241" s="632"/>
      <c r="E241" s="161"/>
      <c r="F241" s="151"/>
      <c r="G241" s="151"/>
      <c r="H241" s="143"/>
      <c r="I241" s="11"/>
    </row>
    <row r="242" spans="1:9" ht="55.5" customHeight="1">
      <c r="A242" s="513" t="s">
        <v>300</v>
      </c>
      <c r="B242" s="208"/>
      <c r="C242" s="208" t="s">
        <v>419</v>
      </c>
      <c r="D242" s="209" t="s">
        <v>420</v>
      </c>
      <c r="E242" s="209" t="s">
        <v>1035</v>
      </c>
      <c r="F242" s="210">
        <v>413371</v>
      </c>
      <c r="G242" s="210">
        <v>486295</v>
      </c>
      <c r="H242" s="143">
        <f>(G242-F242)*100/F242</f>
        <v>17.64129559161141</v>
      </c>
      <c r="I242" s="11"/>
    </row>
    <row r="243" spans="1:9" ht="9" customHeight="1">
      <c r="A243" s="141"/>
      <c r="B243" s="150"/>
      <c r="C243" s="161"/>
      <c r="D243" s="632"/>
      <c r="E243" s="161"/>
      <c r="F243" s="151"/>
      <c r="G243" s="151"/>
      <c r="H243" s="143"/>
      <c r="I243" s="11"/>
    </row>
    <row r="244" spans="1:9" ht="54">
      <c r="A244" s="1033" t="s">
        <v>392</v>
      </c>
      <c r="B244" s="140"/>
      <c r="C244" s="239" t="s">
        <v>421</v>
      </c>
      <c r="D244" s="250"/>
      <c r="E244" s="190"/>
      <c r="F244" s="187"/>
      <c r="G244" s="187"/>
      <c r="H244" s="143"/>
      <c r="I244" s="11"/>
    </row>
    <row r="245" spans="1:9" ht="9" customHeight="1">
      <c r="A245" s="1034"/>
      <c r="B245" s="150"/>
      <c r="C245" s="161"/>
      <c r="D245" s="632"/>
      <c r="E245" s="161"/>
      <c r="F245" s="151"/>
      <c r="G245" s="151"/>
      <c r="H245" s="143"/>
      <c r="I245" s="11"/>
    </row>
    <row r="246" spans="1:9" ht="18">
      <c r="A246" s="1034"/>
      <c r="B246" s="182" t="s">
        <v>15</v>
      </c>
      <c r="C246" s="201" t="s">
        <v>1011</v>
      </c>
      <c r="D246" s="182" t="s">
        <v>422</v>
      </c>
      <c r="E246" s="182" t="s">
        <v>1035</v>
      </c>
      <c r="F246" s="202">
        <v>271949</v>
      </c>
      <c r="G246" s="202">
        <v>316232</v>
      </c>
      <c r="H246" s="143">
        <f>(G246-F246)*100/F246</f>
        <v>16.28356787485889</v>
      </c>
      <c r="I246" s="11"/>
    </row>
    <row r="247" spans="1:9" ht="18">
      <c r="A247" s="1034"/>
      <c r="B247" s="141" t="s">
        <v>909</v>
      </c>
      <c r="C247" s="140" t="s">
        <v>1013</v>
      </c>
      <c r="D247" s="141" t="s">
        <v>467</v>
      </c>
      <c r="E247" s="141" t="s">
        <v>1035</v>
      </c>
      <c r="F247" s="142">
        <v>259826</v>
      </c>
      <c r="G247" s="142">
        <v>301250</v>
      </c>
      <c r="H247" s="143">
        <f>(G247-F247)*100/F247</f>
        <v>15.942977223218616</v>
      </c>
      <c r="I247" s="11"/>
    </row>
    <row r="248" spans="1:9" ht="18">
      <c r="A248" s="1035"/>
      <c r="B248" s="170" t="s">
        <v>158</v>
      </c>
      <c r="C248" s="169" t="s">
        <v>1015</v>
      </c>
      <c r="D248" s="170" t="s">
        <v>468</v>
      </c>
      <c r="E248" s="170" t="s">
        <v>1035</v>
      </c>
      <c r="F248" s="171">
        <v>247034</v>
      </c>
      <c r="G248" s="171">
        <v>286569</v>
      </c>
      <c r="H248" s="143">
        <f>(G248-F248)*100/F248</f>
        <v>16.003869912643605</v>
      </c>
      <c r="I248" s="11"/>
    </row>
    <row r="249" spans="1:9" ht="9" customHeight="1">
      <c r="A249" s="141"/>
      <c r="B249" s="150"/>
      <c r="C249" s="161"/>
      <c r="D249" s="632"/>
      <c r="E249" s="161"/>
      <c r="F249" s="151"/>
      <c r="G249" s="151"/>
      <c r="H249" s="143"/>
      <c r="I249" s="11"/>
    </row>
    <row r="250" spans="1:9" ht="36">
      <c r="A250" s="1036" t="s">
        <v>395</v>
      </c>
      <c r="B250" s="141"/>
      <c r="C250" s="239" t="s">
        <v>1269</v>
      </c>
      <c r="D250" s="630"/>
      <c r="E250" s="161"/>
      <c r="F250" s="151"/>
      <c r="G250" s="151"/>
      <c r="H250" s="143"/>
      <c r="I250" s="11"/>
    </row>
    <row r="251" spans="1:9" ht="36">
      <c r="A251" s="1036"/>
      <c r="B251" s="141" t="s">
        <v>15</v>
      </c>
      <c r="C251" s="140" t="s">
        <v>716</v>
      </c>
      <c r="D251" s="209" t="s">
        <v>1272</v>
      </c>
      <c r="E251" s="170" t="s">
        <v>1035</v>
      </c>
      <c r="F251" s="171">
        <v>297908</v>
      </c>
      <c r="G251" s="171">
        <v>308175</v>
      </c>
      <c r="H251" s="143">
        <f>(G251-F251)*100/F251</f>
        <v>3.4463659921855068</v>
      </c>
      <c r="I251" s="11"/>
    </row>
    <row r="252" spans="1:9" ht="54">
      <c r="A252" s="1036"/>
      <c r="B252" s="141"/>
      <c r="C252" s="239" t="s">
        <v>1273</v>
      </c>
      <c r="D252" s="630"/>
      <c r="E252" s="161"/>
      <c r="F252" s="151"/>
      <c r="G252" s="151"/>
      <c r="H252" s="143"/>
      <c r="I252" s="11"/>
    </row>
    <row r="253" spans="1:9" ht="36">
      <c r="A253" s="1036"/>
      <c r="B253" s="141" t="s">
        <v>15</v>
      </c>
      <c r="C253" s="140" t="s">
        <v>716</v>
      </c>
      <c r="D253" s="209" t="s">
        <v>1275</v>
      </c>
      <c r="E253" s="170" t="s">
        <v>1035</v>
      </c>
      <c r="F253" s="171">
        <v>425372</v>
      </c>
      <c r="G253" s="171">
        <v>471253</v>
      </c>
      <c r="H253" s="143">
        <f>(G253-F253)*100/F253</f>
        <v>10.786088412025238</v>
      </c>
      <c r="I253" s="11"/>
    </row>
    <row r="254" spans="1:9" ht="54">
      <c r="A254" s="1036"/>
      <c r="B254" s="141"/>
      <c r="C254" s="239" t="s">
        <v>1283</v>
      </c>
      <c r="D254" s="630"/>
      <c r="E254" s="161"/>
      <c r="F254" s="151"/>
      <c r="G254" s="151"/>
      <c r="H254" s="143"/>
      <c r="I254" s="11"/>
    </row>
    <row r="255" spans="1:9" ht="36">
      <c r="A255" s="1036"/>
      <c r="B255" s="141" t="s">
        <v>15</v>
      </c>
      <c r="C255" s="140" t="s">
        <v>716</v>
      </c>
      <c r="D255" s="182" t="s">
        <v>1277</v>
      </c>
      <c r="E255" s="141" t="s">
        <v>1035</v>
      </c>
      <c r="F255" s="142">
        <v>545616</v>
      </c>
      <c r="G255" s="142">
        <v>648023</v>
      </c>
      <c r="H255" s="143">
        <f>(G255-F255)*100/F255</f>
        <v>18.769061024603385</v>
      </c>
      <c r="I255" s="11"/>
    </row>
    <row r="256" spans="1:9" ht="9" customHeight="1">
      <c r="A256" s="141"/>
      <c r="B256" s="145"/>
      <c r="C256" s="146"/>
      <c r="D256" s="313"/>
      <c r="E256" s="146"/>
      <c r="F256" s="148"/>
      <c r="G256" s="148"/>
      <c r="H256" s="143"/>
      <c r="I256" s="11"/>
    </row>
    <row r="257" spans="1:9" ht="36">
      <c r="A257" s="1033" t="s">
        <v>1278</v>
      </c>
      <c r="B257" s="141"/>
      <c r="C257" s="239" t="s">
        <v>1269</v>
      </c>
      <c r="D257" s="630"/>
      <c r="E257" s="161"/>
      <c r="F257" s="151"/>
      <c r="G257" s="151"/>
      <c r="H257" s="143"/>
      <c r="I257" s="11"/>
    </row>
    <row r="258" spans="1:9" ht="36">
      <c r="A258" s="1034"/>
      <c r="B258" s="141" t="s">
        <v>15</v>
      </c>
      <c r="C258" s="140" t="s">
        <v>1280</v>
      </c>
      <c r="D258" s="182" t="s">
        <v>1279</v>
      </c>
      <c r="E258" s="141" t="s">
        <v>1035</v>
      </c>
      <c r="F258" s="202">
        <v>413905</v>
      </c>
      <c r="G258" s="202">
        <v>403041</v>
      </c>
      <c r="H258" s="143">
        <f>(G258-F258)*100/F258</f>
        <v>-2.6247568886580255</v>
      </c>
      <c r="I258" s="11"/>
    </row>
    <row r="259" spans="1:9" ht="54">
      <c r="A259" s="1034"/>
      <c r="B259" s="141"/>
      <c r="C259" s="239" t="s">
        <v>1916</v>
      </c>
      <c r="D259" s="636"/>
      <c r="E259" s="112"/>
      <c r="F259" s="158"/>
      <c r="G259" s="158"/>
      <c r="H259" s="143"/>
      <c r="I259" s="11"/>
    </row>
    <row r="260" spans="1:9" ht="36">
      <c r="A260" s="1034"/>
      <c r="B260" s="141" t="s">
        <v>909</v>
      </c>
      <c r="C260" s="140" t="s">
        <v>1280</v>
      </c>
      <c r="D260" s="141" t="s">
        <v>1281</v>
      </c>
      <c r="E260" s="141" t="s">
        <v>1035</v>
      </c>
      <c r="F260" s="142">
        <v>542253</v>
      </c>
      <c r="G260" s="142">
        <v>567003</v>
      </c>
      <c r="H260" s="143">
        <f>(G260-F260)*100/F260</f>
        <v>4.564290100746331</v>
      </c>
      <c r="I260" s="11"/>
    </row>
    <row r="261" spans="1:9" ht="54">
      <c r="A261" s="1034"/>
      <c r="B261" s="141"/>
      <c r="C261" s="239" t="s">
        <v>1283</v>
      </c>
      <c r="D261" s="636"/>
      <c r="E261" s="112"/>
      <c r="F261" s="158"/>
      <c r="G261" s="158"/>
      <c r="H261" s="143"/>
      <c r="I261" s="11"/>
    </row>
    <row r="262" spans="1:9" ht="36">
      <c r="A262" s="1035"/>
      <c r="B262" s="141" t="s">
        <v>158</v>
      </c>
      <c r="C262" s="140" t="s">
        <v>1280</v>
      </c>
      <c r="D262" s="141" t="s">
        <v>1282</v>
      </c>
      <c r="E262" s="141" t="s">
        <v>1035</v>
      </c>
      <c r="F262" s="142">
        <v>662497</v>
      </c>
      <c r="G262" s="142">
        <v>743772</v>
      </c>
      <c r="H262" s="143">
        <f>(G262-F262)*100/F262</f>
        <v>12.267980081419237</v>
      </c>
      <c r="I262" s="11"/>
    </row>
    <row r="263" spans="1:9" ht="9" customHeight="1">
      <c r="A263" s="141"/>
      <c r="B263" s="225"/>
      <c r="C263" s="140"/>
      <c r="D263" s="182"/>
      <c r="E263" s="141"/>
      <c r="F263" s="142"/>
      <c r="G263" s="142"/>
      <c r="H263" s="143"/>
      <c r="I263" s="11"/>
    </row>
    <row r="264" spans="1:9" ht="57.75" customHeight="1">
      <c r="A264" s="513" t="s">
        <v>237</v>
      </c>
      <c r="B264" s="141"/>
      <c r="C264" s="239" t="s">
        <v>1284</v>
      </c>
      <c r="D264" s="182" t="s">
        <v>1285</v>
      </c>
      <c r="E264" s="141" t="s">
        <v>1035</v>
      </c>
      <c r="F264" s="171">
        <v>270604</v>
      </c>
      <c r="G264" s="171">
        <v>261809</v>
      </c>
      <c r="H264" s="229">
        <f>(G264-F264)*100/F264</f>
        <v>-3.2501367311643583</v>
      </c>
      <c r="I264" s="11"/>
    </row>
    <row r="265" spans="1:9" ht="57.75" customHeight="1">
      <c r="A265" s="510" t="s">
        <v>1216</v>
      </c>
      <c r="B265" s="141"/>
      <c r="C265" s="239" t="s">
        <v>376</v>
      </c>
      <c r="D265" s="182" t="s">
        <v>377</v>
      </c>
      <c r="E265" s="141" t="s">
        <v>1035</v>
      </c>
      <c r="F265" s="142">
        <v>307454</v>
      </c>
      <c r="G265" s="142">
        <v>318657</v>
      </c>
      <c r="H265" s="143">
        <f>(G265-F265)*100/F265</f>
        <v>3.643797120870114</v>
      </c>
      <c r="I265" s="11"/>
    </row>
    <row r="266" spans="1:9" ht="39" customHeight="1">
      <c r="A266" s="513" t="s">
        <v>853</v>
      </c>
      <c r="B266" s="170"/>
      <c r="C266" s="169" t="s">
        <v>381</v>
      </c>
      <c r="D266" s="170" t="s">
        <v>382</v>
      </c>
      <c r="E266" s="170" t="s">
        <v>394</v>
      </c>
      <c r="F266" s="171">
        <v>10023</v>
      </c>
      <c r="G266" s="171">
        <v>11371</v>
      </c>
      <c r="H266" s="143">
        <f>(G266-F266)*100/F266</f>
        <v>13.4490671455652</v>
      </c>
      <c r="I266" s="11"/>
    </row>
    <row r="267" spans="1:9" ht="9" customHeight="1">
      <c r="A267" s="141"/>
      <c r="B267" s="150"/>
      <c r="C267" s="161"/>
      <c r="D267" s="632"/>
      <c r="E267" s="161"/>
      <c r="F267" s="151"/>
      <c r="G267" s="151"/>
      <c r="H267" s="143"/>
      <c r="I267" s="11"/>
    </row>
    <row r="268" spans="1:9" ht="36">
      <c r="A268" s="513" t="s">
        <v>879</v>
      </c>
      <c r="B268" s="141"/>
      <c r="C268" s="140" t="s">
        <v>383</v>
      </c>
      <c r="D268" s="141" t="s">
        <v>384</v>
      </c>
      <c r="E268" s="141" t="s">
        <v>385</v>
      </c>
      <c r="F268" s="142">
        <v>2090145</v>
      </c>
      <c r="G268" s="142">
        <v>2087220</v>
      </c>
      <c r="H268" s="143">
        <f>(G268-F268)*100/F268</f>
        <v>-0.13994244418449436</v>
      </c>
      <c r="I268" s="11"/>
    </row>
    <row r="269" spans="1:9" ht="36">
      <c r="A269" s="513" t="s">
        <v>693</v>
      </c>
      <c r="B269" s="141"/>
      <c r="C269" s="140" t="s">
        <v>572</v>
      </c>
      <c r="D269" s="141" t="s">
        <v>573</v>
      </c>
      <c r="E269" s="141" t="s">
        <v>574</v>
      </c>
      <c r="F269" s="142">
        <v>996839</v>
      </c>
      <c r="G269" s="142">
        <v>1039387</v>
      </c>
      <c r="H269" s="143">
        <f>(G269-F269)*100/F269</f>
        <v>4.26829207123718</v>
      </c>
      <c r="I269" s="11"/>
    </row>
    <row r="270" spans="1:9" ht="36">
      <c r="A270" s="513" t="s">
        <v>695</v>
      </c>
      <c r="B270" s="141"/>
      <c r="C270" s="140" t="s">
        <v>575</v>
      </c>
      <c r="D270" s="141" t="s">
        <v>576</v>
      </c>
      <c r="E270" s="141" t="s">
        <v>577</v>
      </c>
      <c r="F270" s="142">
        <v>721953</v>
      </c>
      <c r="G270" s="142">
        <v>755719</v>
      </c>
      <c r="H270" s="143">
        <f>(G270-F270)*100/F270</f>
        <v>4.677035762715856</v>
      </c>
      <c r="I270" s="11"/>
    </row>
    <row r="271" spans="1:9" ht="20.25" customHeight="1">
      <c r="A271" s="513" t="s">
        <v>543</v>
      </c>
      <c r="B271" s="141"/>
      <c r="C271" s="140" t="s">
        <v>578</v>
      </c>
      <c r="D271" s="170" t="s">
        <v>579</v>
      </c>
      <c r="E271" s="170" t="s">
        <v>1035</v>
      </c>
      <c r="F271" s="171">
        <v>85217</v>
      </c>
      <c r="G271" s="171">
        <v>91372</v>
      </c>
      <c r="H271" s="143">
        <f>(G271-F271)*100/F271</f>
        <v>7.22273724726287</v>
      </c>
      <c r="I271" s="11"/>
    </row>
    <row r="272" spans="1:9" ht="36">
      <c r="A272" s="1033" t="s">
        <v>664</v>
      </c>
      <c r="B272" s="141"/>
      <c r="C272" s="239" t="s">
        <v>48</v>
      </c>
      <c r="D272" s="257"/>
      <c r="E272" s="161"/>
      <c r="F272" s="151"/>
      <c r="G272" s="151"/>
      <c r="H272" s="143"/>
      <c r="I272" s="11"/>
    </row>
    <row r="273" spans="1:9" ht="27.75" customHeight="1">
      <c r="A273" s="1034"/>
      <c r="B273" s="156" t="s">
        <v>15</v>
      </c>
      <c r="C273" s="157" t="s">
        <v>49</v>
      </c>
      <c r="D273" s="259" t="s">
        <v>50</v>
      </c>
      <c r="E273" s="259"/>
      <c r="F273" s="260">
        <v>71465</v>
      </c>
      <c r="G273" s="260">
        <v>81667</v>
      </c>
      <c r="H273" s="559">
        <f aca="true" t="shared" si="1" ref="H273:H278">(G273-F273)*100/F273</f>
        <v>14.275519485062619</v>
      </c>
      <c r="I273" s="11"/>
    </row>
    <row r="274" spans="1:9" ht="27.75" customHeight="1">
      <c r="A274" s="1034"/>
      <c r="B274" s="156" t="s">
        <v>909</v>
      </c>
      <c r="C274" s="157" t="s">
        <v>51</v>
      </c>
      <c r="D274" s="156" t="s">
        <v>52</v>
      </c>
      <c r="E274" s="156"/>
      <c r="F274" s="256">
        <v>113743</v>
      </c>
      <c r="G274" s="256">
        <v>130893</v>
      </c>
      <c r="H274" s="559">
        <f t="shared" si="1"/>
        <v>15.077850944673518</v>
      </c>
      <c r="I274" s="11"/>
    </row>
    <row r="275" spans="1:9" ht="27.75" customHeight="1">
      <c r="A275" s="1034"/>
      <c r="B275" s="156" t="s">
        <v>158</v>
      </c>
      <c r="C275" s="157" t="s">
        <v>53</v>
      </c>
      <c r="D275" s="156" t="s">
        <v>54</v>
      </c>
      <c r="E275" s="156"/>
      <c r="F275" s="256">
        <v>74124</v>
      </c>
      <c r="G275" s="256">
        <v>84886</v>
      </c>
      <c r="H275" s="559">
        <f t="shared" si="1"/>
        <v>14.51891425179429</v>
      </c>
      <c r="I275" s="11"/>
    </row>
    <row r="276" spans="1:9" ht="27.75" customHeight="1">
      <c r="A276" s="1035"/>
      <c r="B276" s="156" t="s">
        <v>159</v>
      </c>
      <c r="C276" s="157" t="s">
        <v>55</v>
      </c>
      <c r="D276" s="156" t="s">
        <v>56</v>
      </c>
      <c r="E276" s="156"/>
      <c r="F276" s="256">
        <v>116312</v>
      </c>
      <c r="G276" s="256">
        <v>134009</v>
      </c>
      <c r="H276" s="559">
        <f t="shared" si="1"/>
        <v>15.215111080541991</v>
      </c>
      <c r="I276" s="11"/>
    </row>
    <row r="277" spans="1:9" ht="36">
      <c r="A277" s="513" t="s">
        <v>672</v>
      </c>
      <c r="B277" s="141"/>
      <c r="C277" s="239" t="s">
        <v>57</v>
      </c>
      <c r="D277" s="141" t="s">
        <v>58</v>
      </c>
      <c r="E277" s="170" t="s">
        <v>1035</v>
      </c>
      <c r="F277" s="142">
        <v>213524</v>
      </c>
      <c r="G277" s="142">
        <v>233577</v>
      </c>
      <c r="H277" s="143">
        <f t="shared" si="1"/>
        <v>9.391450141436092</v>
      </c>
      <c r="I277" s="11"/>
    </row>
    <row r="278" spans="1:9" ht="36">
      <c r="A278" s="510" t="s">
        <v>675</v>
      </c>
      <c r="B278" s="170"/>
      <c r="C278" s="261" t="s">
        <v>870</v>
      </c>
      <c r="D278" s="170" t="s">
        <v>871</v>
      </c>
      <c r="E278" s="170" t="s">
        <v>1035</v>
      </c>
      <c r="F278" s="171">
        <v>240485</v>
      </c>
      <c r="G278" s="171">
        <v>265819</v>
      </c>
      <c r="H278" s="143">
        <f t="shared" si="1"/>
        <v>10.534544774102335</v>
      </c>
      <c r="I278" s="11"/>
    </row>
    <row r="279" spans="1:9" ht="36">
      <c r="A279" s="1036" t="s">
        <v>59</v>
      </c>
      <c r="B279" s="141"/>
      <c r="C279" s="261" t="s">
        <v>963</v>
      </c>
      <c r="D279" s="241"/>
      <c r="E279" s="186"/>
      <c r="F279" s="187"/>
      <c r="G279" s="187"/>
      <c r="H279" s="143"/>
      <c r="I279" s="11"/>
    </row>
    <row r="280" spans="1:9" ht="24" customHeight="1">
      <c r="A280" s="1036"/>
      <c r="B280" s="141" t="s">
        <v>15</v>
      </c>
      <c r="C280" s="261" t="s">
        <v>1810</v>
      </c>
      <c r="D280" s="209" t="s">
        <v>964</v>
      </c>
      <c r="E280" s="209" t="s">
        <v>394</v>
      </c>
      <c r="F280" s="210">
        <v>1146</v>
      </c>
      <c r="G280" s="210">
        <v>1215</v>
      </c>
      <c r="H280" s="143">
        <f>(G280-F280)*100/F280</f>
        <v>6.020942408376963</v>
      </c>
      <c r="I280" s="11"/>
    </row>
    <row r="281" spans="1:9" ht="24.75" customHeight="1">
      <c r="A281" s="1036"/>
      <c r="B281" s="141" t="s">
        <v>909</v>
      </c>
      <c r="C281" s="261" t="s">
        <v>1811</v>
      </c>
      <c r="D281" s="170" t="s">
        <v>965</v>
      </c>
      <c r="E281" s="170" t="s">
        <v>394</v>
      </c>
      <c r="F281" s="171">
        <v>1353</v>
      </c>
      <c r="G281" s="171">
        <v>1436</v>
      </c>
      <c r="H281" s="229">
        <f>(G281-F281)*100/F281</f>
        <v>6.134515890613452</v>
      </c>
      <c r="I281" s="11"/>
    </row>
    <row r="282" spans="1:9" ht="9" customHeight="1">
      <c r="A282" s="262"/>
      <c r="B282" s="263"/>
      <c r="C282" s="264"/>
      <c r="D282" s="263"/>
      <c r="E282" s="263"/>
      <c r="F282" s="172"/>
      <c r="G282" s="172"/>
      <c r="H282" s="143"/>
      <c r="I282" s="11"/>
    </row>
    <row r="283" spans="1:9" ht="18">
      <c r="A283" s="1042" t="s">
        <v>969</v>
      </c>
      <c r="B283" s="1043"/>
      <c r="C283" s="1043"/>
      <c r="D283" s="137"/>
      <c r="E283" s="190"/>
      <c r="F283" s="187"/>
      <c r="G283" s="187"/>
      <c r="H283" s="143"/>
      <c r="I283" s="11"/>
    </row>
    <row r="284" spans="1:9" ht="9" customHeight="1">
      <c r="A284" s="141"/>
      <c r="B284" s="150"/>
      <c r="C284" s="161"/>
      <c r="D284" s="632"/>
      <c r="E284" s="161"/>
      <c r="F284" s="151"/>
      <c r="G284" s="151"/>
      <c r="H284" s="143"/>
      <c r="I284" s="11"/>
    </row>
    <row r="285" spans="1:9" ht="18">
      <c r="A285" s="1033" t="s">
        <v>388</v>
      </c>
      <c r="B285" s="140"/>
      <c r="C285" s="239" t="s">
        <v>970</v>
      </c>
      <c r="D285" s="630"/>
      <c r="E285" s="161"/>
      <c r="F285" s="151"/>
      <c r="G285" s="151"/>
      <c r="H285" s="143"/>
      <c r="I285" s="11"/>
    </row>
    <row r="286" spans="1:9" ht="18">
      <c r="A286" s="1034"/>
      <c r="B286" s="141" t="s">
        <v>15</v>
      </c>
      <c r="C286" s="140" t="s">
        <v>283</v>
      </c>
      <c r="D286" s="141" t="s">
        <v>971</v>
      </c>
      <c r="E286" s="141" t="s">
        <v>926</v>
      </c>
      <c r="F286" s="142">
        <v>9893</v>
      </c>
      <c r="G286" s="142">
        <v>9457</v>
      </c>
      <c r="H286" s="143">
        <f>(G286-F286)*100/F286</f>
        <v>-4.4071565753563124</v>
      </c>
      <c r="I286" s="11"/>
    </row>
    <row r="287" spans="1:9" ht="18">
      <c r="A287" s="1034"/>
      <c r="B287" s="141" t="s">
        <v>909</v>
      </c>
      <c r="C287" s="140" t="s">
        <v>285</v>
      </c>
      <c r="D287" s="141" t="s">
        <v>972</v>
      </c>
      <c r="E287" s="141" t="s">
        <v>926</v>
      </c>
      <c r="F287" s="142">
        <v>9893</v>
      </c>
      <c r="G287" s="142">
        <v>9457</v>
      </c>
      <c r="H287" s="143">
        <f>(G287-F287)*100/F287</f>
        <v>-4.4071565753563124</v>
      </c>
      <c r="I287" s="11"/>
    </row>
    <row r="288" spans="1:9" ht="18">
      <c r="A288" s="1034"/>
      <c r="B288" s="141" t="s">
        <v>158</v>
      </c>
      <c r="C288" s="140" t="s">
        <v>287</v>
      </c>
      <c r="D288" s="141" t="s">
        <v>973</v>
      </c>
      <c r="E288" s="141" t="s">
        <v>926</v>
      </c>
      <c r="F288" s="142">
        <v>9893</v>
      </c>
      <c r="G288" s="142">
        <v>9457</v>
      </c>
      <c r="H288" s="143">
        <f>(G288-F288)*100/F288</f>
        <v>-4.4071565753563124</v>
      </c>
      <c r="I288" s="11"/>
    </row>
    <row r="289" spans="1:9" ht="18">
      <c r="A289" s="1035"/>
      <c r="B289" s="141" t="s">
        <v>159</v>
      </c>
      <c r="C289" s="140" t="s">
        <v>1054</v>
      </c>
      <c r="D289" s="141" t="s">
        <v>974</v>
      </c>
      <c r="E289" s="141" t="s">
        <v>926</v>
      </c>
      <c r="F289" s="142">
        <v>9593</v>
      </c>
      <c r="G289" s="142">
        <v>9157</v>
      </c>
      <c r="H289" s="143">
        <f>(G289-F289)*100/F289</f>
        <v>-4.544980715104764</v>
      </c>
      <c r="I289" s="11"/>
    </row>
    <row r="290" spans="1:9" ht="57" customHeight="1">
      <c r="A290" s="140"/>
      <c r="B290" s="140"/>
      <c r="C290" s="140" t="s">
        <v>816</v>
      </c>
      <c r="D290" s="241"/>
      <c r="E290" s="186"/>
      <c r="F290" s="187"/>
      <c r="G290" s="187"/>
      <c r="H290" s="143"/>
      <c r="I290" s="11"/>
    </row>
    <row r="291" spans="1:9" ht="56.25" customHeight="1">
      <c r="A291" s="1033" t="s">
        <v>1039</v>
      </c>
      <c r="B291" s="141" t="s">
        <v>15</v>
      </c>
      <c r="C291" s="140" t="s">
        <v>1063</v>
      </c>
      <c r="D291" s="141" t="s">
        <v>1064</v>
      </c>
      <c r="E291" s="141" t="s">
        <v>926</v>
      </c>
      <c r="F291" s="142"/>
      <c r="G291" s="142"/>
      <c r="H291" s="143"/>
      <c r="I291" s="11"/>
    </row>
    <row r="292" spans="1:9" ht="18">
      <c r="A292" s="1034"/>
      <c r="B292" s="141" t="s">
        <v>15</v>
      </c>
      <c r="C292" s="140" t="s">
        <v>1065</v>
      </c>
      <c r="D292" s="141" t="s">
        <v>1066</v>
      </c>
      <c r="E292" s="141" t="s">
        <v>926</v>
      </c>
      <c r="F292" s="142">
        <v>2908</v>
      </c>
      <c r="G292" s="142">
        <v>2642</v>
      </c>
      <c r="H292" s="143">
        <f>(G292-F292)*100/F292</f>
        <v>-9.147180192572215</v>
      </c>
      <c r="I292" s="11"/>
    </row>
    <row r="293" spans="1:9" ht="18">
      <c r="A293" s="1035"/>
      <c r="B293" s="141" t="s">
        <v>909</v>
      </c>
      <c r="C293" s="140" t="s">
        <v>1067</v>
      </c>
      <c r="D293" s="141" t="s">
        <v>1068</v>
      </c>
      <c r="E293" s="141" t="s">
        <v>926</v>
      </c>
      <c r="F293" s="142">
        <v>2503</v>
      </c>
      <c r="G293" s="142">
        <v>2316</v>
      </c>
      <c r="H293" s="143">
        <f>(G293-F293)*100/F293</f>
        <v>-7.471034758290052</v>
      </c>
      <c r="I293" s="11"/>
    </row>
    <row r="294" spans="1:9" ht="54">
      <c r="A294" s="1033" t="s">
        <v>1044</v>
      </c>
      <c r="B294" s="141" t="s">
        <v>909</v>
      </c>
      <c r="C294" s="140" t="s">
        <v>1069</v>
      </c>
      <c r="D294" s="141" t="s">
        <v>1070</v>
      </c>
      <c r="E294" s="141" t="s">
        <v>926</v>
      </c>
      <c r="F294" s="142"/>
      <c r="G294" s="142"/>
      <c r="H294" s="143"/>
      <c r="I294" s="11"/>
    </row>
    <row r="295" spans="1:9" ht="18">
      <c r="A295" s="1034"/>
      <c r="B295" s="141" t="s">
        <v>15</v>
      </c>
      <c r="C295" s="140" t="s">
        <v>1065</v>
      </c>
      <c r="D295" s="141" t="s">
        <v>1071</v>
      </c>
      <c r="E295" s="141" t="s">
        <v>926</v>
      </c>
      <c r="F295" s="142">
        <v>5435</v>
      </c>
      <c r="G295" s="142">
        <v>4927</v>
      </c>
      <c r="H295" s="143">
        <f>(G295-F295)*100/F295</f>
        <v>-9.346826126954921</v>
      </c>
      <c r="I295" s="11"/>
    </row>
    <row r="296" spans="1:9" ht="18">
      <c r="A296" s="1035"/>
      <c r="B296" s="141" t="s">
        <v>909</v>
      </c>
      <c r="C296" s="140" t="s">
        <v>1067</v>
      </c>
      <c r="D296" s="141" t="s">
        <v>1072</v>
      </c>
      <c r="E296" s="141" t="s">
        <v>926</v>
      </c>
      <c r="F296" s="142">
        <v>5176</v>
      </c>
      <c r="G296" s="142">
        <v>4672</v>
      </c>
      <c r="H296" s="143">
        <f>(G296-F296)*100/F296</f>
        <v>-9.737248840803709</v>
      </c>
      <c r="I296" s="11"/>
    </row>
    <row r="297" spans="1:9" ht="58.5" customHeight="1">
      <c r="A297" s="513" t="s">
        <v>1050</v>
      </c>
      <c r="B297" s="141" t="s">
        <v>158</v>
      </c>
      <c r="C297" s="140" t="s">
        <v>1073</v>
      </c>
      <c r="D297" s="141" t="s">
        <v>1074</v>
      </c>
      <c r="E297" s="141" t="s">
        <v>926</v>
      </c>
      <c r="F297" s="142">
        <v>2747</v>
      </c>
      <c r="G297" s="142">
        <v>2283</v>
      </c>
      <c r="H297" s="143">
        <f>(G297-F297)*100/F297</f>
        <v>-16.891153986166728</v>
      </c>
      <c r="I297" s="11"/>
    </row>
    <row r="298" spans="1:9" ht="39" customHeight="1">
      <c r="A298" s="1036" t="s">
        <v>300</v>
      </c>
      <c r="B298" s="141" t="s">
        <v>159</v>
      </c>
      <c r="C298" s="140" t="s">
        <v>1075</v>
      </c>
      <c r="D298" s="141" t="s">
        <v>1076</v>
      </c>
      <c r="E298" s="141" t="s">
        <v>926</v>
      </c>
      <c r="F298" s="142"/>
      <c r="G298" s="142"/>
      <c r="H298" s="143"/>
      <c r="I298" s="11"/>
    </row>
    <row r="299" spans="1:9" ht="18">
      <c r="A299" s="1036"/>
      <c r="B299" s="141" t="s">
        <v>15</v>
      </c>
      <c r="C299" s="140" t="s">
        <v>1065</v>
      </c>
      <c r="D299" s="141" t="s">
        <v>1077</v>
      </c>
      <c r="E299" s="141" t="s">
        <v>926</v>
      </c>
      <c r="F299" s="142">
        <v>1910</v>
      </c>
      <c r="G299" s="142">
        <v>1884</v>
      </c>
      <c r="H299" s="143">
        <f>(G299-F299)*100/F299</f>
        <v>-1.361256544502618</v>
      </c>
      <c r="I299" s="11"/>
    </row>
    <row r="300" spans="1:9" ht="18">
      <c r="A300" s="1033"/>
      <c r="B300" s="170" t="s">
        <v>909</v>
      </c>
      <c r="C300" s="169" t="s">
        <v>1067</v>
      </c>
      <c r="D300" s="170" t="s">
        <v>1078</v>
      </c>
      <c r="E300" s="170" t="s">
        <v>926</v>
      </c>
      <c r="F300" s="171">
        <v>1504</v>
      </c>
      <c r="G300" s="171">
        <v>1558</v>
      </c>
      <c r="H300" s="229">
        <f>(G300-F300)*100/F300</f>
        <v>3.5904255319148937</v>
      </c>
      <c r="I300" s="11"/>
    </row>
    <row r="301" spans="1:9" ht="38.25" customHeight="1">
      <c r="A301" s="1036" t="s">
        <v>392</v>
      </c>
      <c r="B301" s="141" t="s">
        <v>160</v>
      </c>
      <c r="C301" s="140" t="s">
        <v>214</v>
      </c>
      <c r="D301" s="141" t="s">
        <v>215</v>
      </c>
      <c r="E301" s="141" t="s">
        <v>926</v>
      </c>
      <c r="F301" s="142"/>
      <c r="G301" s="142"/>
      <c r="H301" s="143"/>
      <c r="I301" s="47"/>
    </row>
    <row r="302" spans="1:9" ht="18">
      <c r="A302" s="1036"/>
      <c r="B302" s="141" t="s">
        <v>15</v>
      </c>
      <c r="C302" s="140" t="s">
        <v>1065</v>
      </c>
      <c r="D302" s="141" t="s">
        <v>216</v>
      </c>
      <c r="E302" s="141" t="s">
        <v>926</v>
      </c>
      <c r="F302" s="142">
        <v>3212</v>
      </c>
      <c r="G302" s="142">
        <v>3160</v>
      </c>
      <c r="H302" s="143">
        <f>(G302-F302)*100/F302</f>
        <v>-1.6189290161892902</v>
      </c>
      <c r="I302" s="47"/>
    </row>
    <row r="303" spans="1:9" ht="18">
      <c r="A303" s="1036"/>
      <c r="B303" s="141" t="s">
        <v>909</v>
      </c>
      <c r="C303" s="140" t="s">
        <v>1067</v>
      </c>
      <c r="D303" s="141" t="s">
        <v>217</v>
      </c>
      <c r="E303" s="141" t="s">
        <v>926</v>
      </c>
      <c r="F303" s="142">
        <v>2953</v>
      </c>
      <c r="G303" s="142">
        <v>2904</v>
      </c>
      <c r="H303" s="143">
        <f>(G303-F303)*100/F303</f>
        <v>-1.659329495428378</v>
      </c>
      <c r="I303" s="47"/>
    </row>
    <row r="304" spans="1:9" ht="18">
      <c r="A304" s="550"/>
      <c r="B304" s="178"/>
      <c r="C304" s="112"/>
      <c r="D304" s="178"/>
      <c r="E304" s="178"/>
      <c r="F304" s="628"/>
      <c r="G304" s="628"/>
      <c r="H304" s="268"/>
      <c r="I304" s="40"/>
    </row>
    <row r="305" spans="1:9" ht="18">
      <c r="A305" s="550"/>
      <c r="B305" s="178"/>
      <c r="C305" s="112"/>
      <c r="D305" s="178"/>
      <c r="E305" s="178"/>
      <c r="F305" s="590"/>
      <c r="G305" s="590"/>
      <c r="H305" s="591"/>
      <c r="I305" s="40"/>
    </row>
    <row r="306" spans="1:9" ht="18">
      <c r="A306" s="550"/>
      <c r="B306" s="178"/>
      <c r="C306" s="112"/>
      <c r="D306" s="178"/>
      <c r="E306" s="178"/>
      <c r="F306" s="590"/>
      <c r="G306" s="590"/>
      <c r="H306" s="591"/>
      <c r="I306" s="40"/>
    </row>
    <row r="307" spans="1:9" ht="18">
      <c r="A307" s="550"/>
      <c r="B307" s="178"/>
      <c r="C307" s="112"/>
      <c r="D307" s="178"/>
      <c r="E307" s="178"/>
      <c r="F307" s="590"/>
      <c r="G307" s="590"/>
      <c r="H307" s="591"/>
      <c r="I307" s="40"/>
    </row>
    <row r="308" spans="1:9" ht="18">
      <c r="A308" s="550"/>
      <c r="B308" s="178"/>
      <c r="C308" s="112"/>
      <c r="D308" s="178"/>
      <c r="E308" s="178"/>
      <c r="F308" s="590"/>
      <c r="G308" s="590"/>
      <c r="H308" s="591"/>
      <c r="I308" s="40"/>
    </row>
    <row r="309" spans="1:9" ht="18">
      <c r="A309" s="550"/>
      <c r="B309" s="178"/>
      <c r="C309" s="112"/>
      <c r="D309" s="178"/>
      <c r="E309" s="178"/>
      <c r="F309" s="590"/>
      <c r="G309" s="590"/>
      <c r="H309" s="591"/>
      <c r="I309" s="40"/>
    </row>
    <row r="310" spans="1:9" ht="18">
      <c r="A310" s="550"/>
      <c r="B310" s="178"/>
      <c r="C310" s="112"/>
      <c r="D310" s="178"/>
      <c r="E310" s="178"/>
      <c r="F310" s="590"/>
      <c r="G310" s="590"/>
      <c r="H310" s="591"/>
      <c r="I310" s="40"/>
    </row>
  </sheetData>
  <sheetProtection/>
  <mergeCells count="65">
    <mergeCell ref="A301:A303"/>
    <mergeCell ref="A250:A255"/>
    <mergeCell ref="A257:A262"/>
    <mergeCell ref="A272:A276"/>
    <mergeCell ref="A279:A281"/>
    <mergeCell ref="A283:C283"/>
    <mergeCell ref="A285:A289"/>
    <mergeCell ref="A291:A293"/>
    <mergeCell ref="A294:A296"/>
    <mergeCell ref="A298:A300"/>
    <mergeCell ref="A214:A217"/>
    <mergeCell ref="A219:C219"/>
    <mergeCell ref="A220:A226"/>
    <mergeCell ref="A228:A232"/>
    <mergeCell ref="A234:A238"/>
    <mergeCell ref="A244:A248"/>
    <mergeCell ref="A183:A187"/>
    <mergeCell ref="A189:A194"/>
    <mergeCell ref="A196:A200"/>
    <mergeCell ref="A202:A205"/>
    <mergeCell ref="A207:A210"/>
    <mergeCell ref="A212:A213"/>
    <mergeCell ref="A150:A155"/>
    <mergeCell ref="A157:A158"/>
    <mergeCell ref="A160:A162"/>
    <mergeCell ref="A168:C168"/>
    <mergeCell ref="A170:A175"/>
    <mergeCell ref="A177:A181"/>
    <mergeCell ref="A123:A125"/>
    <mergeCell ref="A127:A129"/>
    <mergeCell ref="A133:A136"/>
    <mergeCell ref="A138:A140"/>
    <mergeCell ref="A142:A144"/>
    <mergeCell ref="A147:A149"/>
    <mergeCell ref="A90:A93"/>
    <mergeCell ref="A97:C97"/>
    <mergeCell ref="A99:A101"/>
    <mergeCell ref="A105:C105"/>
    <mergeCell ref="A107:A109"/>
    <mergeCell ref="A112:A118"/>
    <mergeCell ref="A52:A54"/>
    <mergeCell ref="A56:A58"/>
    <mergeCell ref="A64:C64"/>
    <mergeCell ref="A66:A72"/>
    <mergeCell ref="A74:A77"/>
    <mergeCell ref="A79:A82"/>
    <mergeCell ref="A60:A62"/>
    <mergeCell ref="A29:A30"/>
    <mergeCell ref="A32:A33"/>
    <mergeCell ref="A35:A36"/>
    <mergeCell ref="A38:A40"/>
    <mergeCell ref="A43:A46"/>
    <mergeCell ref="A48:A50"/>
    <mergeCell ref="B6:C6"/>
    <mergeCell ref="A7:C7"/>
    <mergeCell ref="A8:A11"/>
    <mergeCell ref="A13:A15"/>
    <mergeCell ref="A17:A20"/>
    <mergeCell ref="A22:A25"/>
    <mergeCell ref="B2:G2"/>
    <mergeCell ref="A4:A5"/>
    <mergeCell ref="B4:C5"/>
    <mergeCell ref="D4:D5"/>
    <mergeCell ref="E4:E5"/>
    <mergeCell ref="H4:H5"/>
  </mergeCells>
  <printOptions/>
  <pageMargins left="0.89" right="0.23" top="0.75" bottom="0.27" header="0.3" footer="0.17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60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I19" sqref="I19"/>
    </sheetView>
  </sheetViews>
  <sheetFormatPr defaultColWidth="9.140625" defaultRowHeight="12.75"/>
  <cols>
    <col min="1" max="1" width="6.00390625" style="540" customWidth="1"/>
    <col min="2" max="2" width="54.28125" style="1" customWidth="1"/>
    <col min="3" max="3" width="12.57421875" style="28" customWidth="1"/>
    <col min="4" max="4" width="5.57421875" style="1" customWidth="1"/>
    <col min="5" max="5" width="6.00390625" style="1" customWidth="1"/>
    <col min="6" max="6" width="8.8515625" style="1" customWidth="1"/>
    <col min="7" max="7" width="11.57421875" style="1" customWidth="1"/>
    <col min="8" max="8" width="21.00390625" style="1" customWidth="1"/>
    <col min="9" max="9" width="20.28125" style="1" customWidth="1"/>
    <col min="10" max="10" width="11.00390625" style="1" bestFit="1" customWidth="1"/>
    <col min="11" max="11" width="3.8515625" style="1" bestFit="1" customWidth="1"/>
    <col min="12" max="12" width="4.28125" style="1" customWidth="1"/>
    <col min="13" max="13" width="5.7109375" style="1" customWidth="1"/>
    <col min="14" max="16384" width="9.140625" style="1" customWidth="1"/>
  </cols>
  <sheetData>
    <row r="1" spans="2:9" ht="18" customHeight="1">
      <c r="B1" s="1163" t="s">
        <v>1618</v>
      </c>
      <c r="C1" s="1163"/>
      <c r="D1" s="527"/>
      <c r="E1" s="527"/>
      <c r="F1" s="527"/>
      <c r="G1" s="527"/>
      <c r="H1" s="527"/>
      <c r="I1" s="33"/>
    </row>
    <row r="2" spans="2:9" ht="9.75" customHeight="1">
      <c r="B2" s="80"/>
      <c r="C2" s="527"/>
      <c r="D2" s="527"/>
      <c r="E2" s="527"/>
      <c r="F2" s="527"/>
      <c r="G2" s="527"/>
      <c r="H2" s="527"/>
      <c r="I2" s="33"/>
    </row>
    <row r="3" spans="2:7" ht="15" customHeight="1">
      <c r="B3" s="1070" t="s">
        <v>1619</v>
      </c>
      <c r="C3" s="1070"/>
      <c r="D3" s="1070"/>
      <c r="E3" s="1070"/>
      <c r="F3" s="1070"/>
      <c r="G3" s="58"/>
    </row>
    <row r="4" spans="2:7" ht="12.75" customHeight="1">
      <c r="B4" s="557"/>
      <c r="C4" s="557"/>
      <c r="D4" s="9"/>
      <c r="E4" s="9"/>
      <c r="F4" s="9"/>
      <c r="G4" s="9"/>
    </row>
    <row r="5" spans="1:7" ht="16.5" customHeight="1">
      <c r="A5" s="557"/>
      <c r="B5" s="285"/>
      <c r="C5" s="285"/>
      <c r="D5" s="285"/>
      <c r="E5" s="285"/>
      <c r="F5" s="1070" t="s">
        <v>1823</v>
      </c>
      <c r="G5" s="1070"/>
    </row>
    <row r="6" spans="1:7" ht="9.75" customHeight="1">
      <c r="A6" s="557"/>
      <c r="B6" s="285"/>
      <c r="C6" s="285"/>
      <c r="D6" s="285"/>
      <c r="E6" s="285"/>
      <c r="F6" s="291"/>
      <c r="G6" s="291"/>
    </row>
    <row r="7" spans="1:7" ht="27.75" customHeight="1">
      <c r="A7" s="534" t="s">
        <v>1225</v>
      </c>
      <c r="B7" s="328" t="s">
        <v>16</v>
      </c>
      <c r="C7" s="534" t="s">
        <v>1377</v>
      </c>
      <c r="D7" s="534" t="s">
        <v>17</v>
      </c>
      <c r="E7" s="534" t="s">
        <v>580</v>
      </c>
      <c r="F7" s="534" t="s">
        <v>746</v>
      </c>
      <c r="G7" s="534" t="s">
        <v>747</v>
      </c>
    </row>
    <row r="8" spans="1:7" ht="12.75" customHeight="1">
      <c r="A8" s="539">
        <v>1</v>
      </c>
      <c r="B8" s="534">
        <v>2</v>
      </c>
      <c r="C8" s="534">
        <v>3</v>
      </c>
      <c r="D8" s="534">
        <v>4</v>
      </c>
      <c r="E8" s="534">
        <v>5</v>
      </c>
      <c r="F8" s="534">
        <v>6</v>
      </c>
      <c r="G8" s="534">
        <v>7</v>
      </c>
    </row>
    <row r="9" spans="1:7" ht="18" customHeight="1">
      <c r="A9" s="554">
        <v>1</v>
      </c>
      <c r="B9" s="274" t="s">
        <v>1620</v>
      </c>
      <c r="C9" s="754">
        <v>7130800012</v>
      </c>
      <c r="D9" s="862" t="s">
        <v>19</v>
      </c>
      <c r="E9" s="554">
        <v>1</v>
      </c>
      <c r="F9" s="275">
        <f>VLOOKUP(C9,'SOR RATE'!A:D,4,0)</f>
        <v>2255.2</v>
      </c>
      <c r="G9" s="571">
        <f>F9*E9</f>
        <v>2255.2</v>
      </c>
    </row>
    <row r="10" spans="1:7" ht="14.25">
      <c r="A10" s="554">
        <v>2</v>
      </c>
      <c r="B10" s="274" t="s">
        <v>1570</v>
      </c>
      <c r="C10" s="754">
        <v>7130810495</v>
      </c>
      <c r="D10" s="496" t="s">
        <v>19</v>
      </c>
      <c r="E10" s="554">
        <v>22</v>
      </c>
      <c r="F10" s="275">
        <f>VLOOKUP(C10,'SOR RATE'!A:D,4,0)</f>
        <v>1057.95</v>
      </c>
      <c r="G10" s="571">
        <f aca="true" t="shared" si="0" ref="G10:G33">F10*E10</f>
        <v>23274.9</v>
      </c>
    </row>
    <row r="11" spans="1:7" ht="14.25">
      <c r="A11" s="554">
        <v>3</v>
      </c>
      <c r="B11" s="274" t="s">
        <v>1621</v>
      </c>
      <c r="C11" s="754">
        <v>7130810679</v>
      </c>
      <c r="D11" s="496" t="s">
        <v>19</v>
      </c>
      <c r="E11" s="554">
        <v>22</v>
      </c>
      <c r="F11" s="275">
        <f>VLOOKUP(C11,'SOR RATE'!A:D,4,0)</f>
        <v>296.79</v>
      </c>
      <c r="G11" s="571">
        <f t="shared" si="0"/>
        <v>6529.38</v>
      </c>
    </row>
    <row r="12" spans="1:7" ht="15.75" customHeight="1">
      <c r="A12" s="554">
        <v>4</v>
      </c>
      <c r="B12" s="274" t="s">
        <v>1571</v>
      </c>
      <c r="C12" s="754">
        <v>7130870013</v>
      </c>
      <c r="D12" s="1003" t="s">
        <v>19</v>
      </c>
      <c r="E12" s="554">
        <v>22</v>
      </c>
      <c r="F12" s="275">
        <f>VLOOKUP(C12,'SOR RATE'!A:D,4,0)</f>
        <v>114.85</v>
      </c>
      <c r="G12" s="571">
        <f t="shared" si="0"/>
        <v>2526.7</v>
      </c>
    </row>
    <row r="13" spans="1:9" ht="15.75" customHeight="1">
      <c r="A13" s="554">
        <v>5</v>
      </c>
      <c r="B13" s="279" t="s">
        <v>722</v>
      </c>
      <c r="C13" s="768">
        <v>7130820008</v>
      </c>
      <c r="D13" s="496" t="s">
        <v>19</v>
      </c>
      <c r="E13" s="554">
        <v>66</v>
      </c>
      <c r="F13" s="275">
        <f>VLOOKUP(C13,'SOR RATE'!A:D,4,0)</f>
        <v>142.14</v>
      </c>
      <c r="G13" s="571">
        <f t="shared" si="0"/>
        <v>9381.24</v>
      </c>
      <c r="I13" s="79"/>
    </row>
    <row r="14" spans="1:7" ht="16.5" customHeight="1">
      <c r="A14" s="554">
        <v>6</v>
      </c>
      <c r="B14" s="1004" t="s">
        <v>1605</v>
      </c>
      <c r="C14" s="616">
        <v>7130830854</v>
      </c>
      <c r="D14" s="552" t="s">
        <v>19</v>
      </c>
      <c r="E14" s="554">
        <v>6</v>
      </c>
      <c r="F14" s="275">
        <f>VLOOKUP(C14,'SOR RATE'!A:D,4,0)</f>
        <v>29.14</v>
      </c>
      <c r="G14" s="571">
        <f t="shared" si="0"/>
        <v>174.84</v>
      </c>
    </row>
    <row r="15" spans="1:7" ht="14.25">
      <c r="A15" s="554">
        <v>7</v>
      </c>
      <c r="B15" s="274" t="s">
        <v>832</v>
      </c>
      <c r="C15" s="754">
        <v>7130211158</v>
      </c>
      <c r="D15" s="496" t="s">
        <v>905</v>
      </c>
      <c r="E15" s="554">
        <v>3</v>
      </c>
      <c r="F15" s="275">
        <f>VLOOKUP(C15,'SOR RATE'!A:D,4,0)</f>
        <v>146.77</v>
      </c>
      <c r="G15" s="571">
        <f t="shared" si="0"/>
        <v>440.31000000000006</v>
      </c>
    </row>
    <row r="16" spans="1:7" ht="14.25">
      <c r="A16" s="554">
        <v>8</v>
      </c>
      <c r="B16" s="274" t="s">
        <v>1093</v>
      </c>
      <c r="C16" s="754">
        <v>7130210809</v>
      </c>
      <c r="D16" s="496" t="s">
        <v>905</v>
      </c>
      <c r="E16" s="554">
        <v>3</v>
      </c>
      <c r="F16" s="275">
        <f>VLOOKUP(C16,'SOR RATE'!A:D,4,0)</f>
        <v>327.94</v>
      </c>
      <c r="G16" s="571">
        <f t="shared" si="0"/>
        <v>983.8199999999999</v>
      </c>
    </row>
    <row r="17" spans="1:10" ht="14.25">
      <c r="A17" s="554">
        <v>9</v>
      </c>
      <c r="B17" s="61" t="s">
        <v>1351</v>
      </c>
      <c r="C17" s="62">
        <v>7130610206</v>
      </c>
      <c r="D17" s="496" t="s">
        <v>907</v>
      </c>
      <c r="E17" s="554">
        <v>22</v>
      </c>
      <c r="F17" s="275">
        <f>VLOOKUP(C17,'SOR RATE'!A:D,4,0)/1000</f>
        <v>76.07503</v>
      </c>
      <c r="G17" s="571">
        <f t="shared" si="0"/>
        <v>1673.65066</v>
      </c>
      <c r="H17" s="56"/>
      <c r="I17" s="25"/>
      <c r="J17" s="25"/>
    </row>
    <row r="18" spans="1:7" ht="14.25">
      <c r="A18" s="554">
        <v>10</v>
      </c>
      <c r="B18" s="274" t="s">
        <v>445</v>
      </c>
      <c r="C18" s="754">
        <v>7130880041</v>
      </c>
      <c r="D18" s="496" t="s">
        <v>19</v>
      </c>
      <c r="E18" s="554">
        <v>22</v>
      </c>
      <c r="F18" s="275">
        <f>VLOOKUP(C18,'SOR RATE'!A:D,4,0)</f>
        <v>89.74</v>
      </c>
      <c r="G18" s="571">
        <f t="shared" si="0"/>
        <v>1974.28</v>
      </c>
    </row>
    <row r="19" spans="1:7" ht="14.25">
      <c r="A19" s="554">
        <v>11</v>
      </c>
      <c r="B19" s="274" t="s">
        <v>1606</v>
      </c>
      <c r="C19" s="754">
        <v>7130830006</v>
      </c>
      <c r="D19" s="496" t="s">
        <v>907</v>
      </c>
      <c r="E19" s="554">
        <v>5</v>
      </c>
      <c r="F19" s="275">
        <f>VLOOKUP(C19,'SOR RATE'!A:D,4,0)</f>
        <v>155.45</v>
      </c>
      <c r="G19" s="571">
        <f t="shared" si="0"/>
        <v>777.25</v>
      </c>
    </row>
    <row r="20" spans="1:7" ht="14.25">
      <c r="A20" s="1103">
        <v>12</v>
      </c>
      <c r="B20" s="274" t="s">
        <v>1607</v>
      </c>
      <c r="C20" s="720"/>
      <c r="D20" s="721"/>
      <c r="E20" s="721"/>
      <c r="F20" s="721"/>
      <c r="G20" s="722"/>
    </row>
    <row r="21" spans="1:7" ht="14.25">
      <c r="A21" s="1104"/>
      <c r="B21" s="274" t="s">
        <v>1227</v>
      </c>
      <c r="C21" s="754">
        <v>7130620619</v>
      </c>
      <c r="D21" s="724" t="s">
        <v>981</v>
      </c>
      <c r="E21" s="554">
        <v>2</v>
      </c>
      <c r="F21" s="275">
        <f>VLOOKUP(C21,'SOR RATE'!A:D,4,0)</f>
        <v>68.22</v>
      </c>
      <c r="G21" s="571">
        <f t="shared" si="0"/>
        <v>136.44</v>
      </c>
    </row>
    <row r="22" spans="1:7" ht="14.25">
      <c r="A22" s="1095"/>
      <c r="B22" s="274" t="s">
        <v>1229</v>
      </c>
      <c r="C22" s="754">
        <v>7130620627</v>
      </c>
      <c r="D22" s="724" t="s">
        <v>981</v>
      </c>
      <c r="E22" s="554">
        <v>17</v>
      </c>
      <c r="F22" s="275">
        <f>VLOOKUP(C22,'SOR RATE'!A:D,4,0)</f>
        <v>67.06</v>
      </c>
      <c r="G22" s="571">
        <f t="shared" si="0"/>
        <v>1140.02</v>
      </c>
    </row>
    <row r="23" spans="1:7" ht="14.25">
      <c r="A23" s="1103">
        <v>13</v>
      </c>
      <c r="B23" s="274" t="s">
        <v>447</v>
      </c>
      <c r="C23" s="720"/>
      <c r="D23" s="721"/>
      <c r="E23" s="721"/>
      <c r="F23" s="721"/>
      <c r="G23" s="722"/>
    </row>
    <row r="24" spans="1:7" ht="14.25">
      <c r="A24" s="1104"/>
      <c r="B24" s="274" t="s">
        <v>1575</v>
      </c>
      <c r="C24" s="754">
        <v>7130810511</v>
      </c>
      <c r="D24" s="496" t="s">
        <v>19</v>
      </c>
      <c r="E24" s="554">
        <v>23</v>
      </c>
      <c r="F24" s="275">
        <f>VLOOKUP(C24,'SOR RATE'!A:D,4,0)</f>
        <v>2508.6</v>
      </c>
      <c r="G24" s="571">
        <f t="shared" si="0"/>
        <v>57697.799999999996</v>
      </c>
    </row>
    <row r="25" spans="1:7" ht="14.25">
      <c r="A25" s="1104"/>
      <c r="B25" s="274" t="s">
        <v>719</v>
      </c>
      <c r="C25" s="754">
        <v>7130870043</v>
      </c>
      <c r="D25" s="496" t="s">
        <v>907</v>
      </c>
      <c r="E25" s="554">
        <v>441</v>
      </c>
      <c r="F25" s="275">
        <f>VLOOKUP(C25,'SOR RATE'!A:D,4,0)/1000</f>
        <v>62.99996</v>
      </c>
      <c r="G25" s="571">
        <f t="shared" si="0"/>
        <v>27782.98236</v>
      </c>
    </row>
    <row r="26" spans="1:7" ht="14.25">
      <c r="A26" s="1104"/>
      <c r="B26" s="274" t="s">
        <v>1608</v>
      </c>
      <c r="C26" s="1005">
        <v>7130810026</v>
      </c>
      <c r="D26" s="496" t="s">
        <v>19</v>
      </c>
      <c r="E26" s="554">
        <v>2</v>
      </c>
      <c r="F26" s="275">
        <f>VLOOKUP(C26,'SOR RATE'!A183:D183,4,0)</f>
        <v>291.13</v>
      </c>
      <c r="G26" s="571">
        <f t="shared" si="0"/>
        <v>582.26</v>
      </c>
    </row>
    <row r="27" spans="1:7" ht="14.25">
      <c r="A27" s="1104"/>
      <c r="B27" s="274" t="s">
        <v>1609</v>
      </c>
      <c r="C27" s="754">
        <v>7130860077</v>
      </c>
      <c r="D27" s="764" t="s">
        <v>907</v>
      </c>
      <c r="E27" s="554">
        <v>11</v>
      </c>
      <c r="F27" s="275">
        <f>VLOOKUP(C27,'SOR RATE'!A:D,4,0)/1000</f>
        <v>70.43964</v>
      </c>
      <c r="G27" s="571">
        <f t="shared" si="0"/>
        <v>774.8360399999999</v>
      </c>
    </row>
    <row r="28" spans="1:7" ht="14.25">
      <c r="A28" s="1104"/>
      <c r="B28" s="274" t="s">
        <v>1578</v>
      </c>
      <c r="C28" s="754">
        <v>7130860032</v>
      </c>
      <c r="D28" s="496" t="s">
        <v>19</v>
      </c>
      <c r="E28" s="554">
        <v>2</v>
      </c>
      <c r="F28" s="275">
        <f>VLOOKUP(C28,'SOR RATE'!A:D,4,0)</f>
        <v>441.23</v>
      </c>
      <c r="G28" s="571">
        <f t="shared" si="0"/>
        <v>882.46</v>
      </c>
    </row>
    <row r="29" spans="1:7" ht="14.25">
      <c r="A29" s="1095"/>
      <c r="B29" s="274" t="s">
        <v>1622</v>
      </c>
      <c r="C29" s="754">
        <v>7130620013</v>
      </c>
      <c r="D29" s="842" t="s">
        <v>749</v>
      </c>
      <c r="E29" s="554">
        <v>4</v>
      </c>
      <c r="F29" s="275">
        <f>VLOOKUP(C29,'SOR RATE'!A:D,4,0)</f>
        <v>124.12</v>
      </c>
      <c r="G29" s="571">
        <f t="shared" si="0"/>
        <v>496.48</v>
      </c>
    </row>
    <row r="30" spans="1:7" ht="30.75" customHeight="1">
      <c r="A30" s="1103">
        <v>14</v>
      </c>
      <c r="B30" s="756" t="s">
        <v>1766</v>
      </c>
      <c r="C30" s="554"/>
      <c r="D30" s="554"/>
      <c r="E30" s="554">
        <f>1+2</f>
        <v>3</v>
      </c>
      <c r="F30" s="554"/>
      <c r="G30" s="571"/>
    </row>
    <row r="31" spans="1:9" ht="15.75" customHeight="1">
      <c r="A31" s="1095"/>
      <c r="B31" s="502" t="s">
        <v>1758</v>
      </c>
      <c r="C31" s="754">
        <v>7130640008</v>
      </c>
      <c r="D31" s="496" t="s">
        <v>926</v>
      </c>
      <c r="E31" s="554">
        <f>1+(2*2)</f>
        <v>5</v>
      </c>
      <c r="F31" s="275">
        <f>VLOOKUP(C31,'SOR RATE'!A:D,4,0)</f>
        <v>158</v>
      </c>
      <c r="G31" s="571">
        <f>F31*E31</f>
        <v>790</v>
      </c>
      <c r="H31" s="608" t="s">
        <v>1894</v>
      </c>
      <c r="I31" s="608" t="s">
        <v>1886</v>
      </c>
    </row>
    <row r="32" spans="1:7" ht="16.5" customHeight="1">
      <c r="A32" s="554">
        <v>15</v>
      </c>
      <c r="B32" s="274" t="s">
        <v>1623</v>
      </c>
      <c r="C32" s="754">
        <v>7130311008</v>
      </c>
      <c r="D32" s="554" t="s">
        <v>750</v>
      </c>
      <c r="E32" s="554">
        <v>2104</v>
      </c>
      <c r="F32" s="275">
        <f>VLOOKUP(C32,'SOR RATE'!A:D,4,0)/1000</f>
        <v>18.17464</v>
      </c>
      <c r="G32" s="571">
        <f t="shared" si="0"/>
        <v>38239.44256</v>
      </c>
    </row>
    <row r="33" spans="1:7" ht="14.25">
      <c r="A33" s="554">
        <v>16</v>
      </c>
      <c r="B33" s="274" t="s">
        <v>1612</v>
      </c>
      <c r="C33" s="754">
        <v>7130830053</v>
      </c>
      <c r="D33" s="862" t="s">
        <v>980</v>
      </c>
      <c r="E33" s="554">
        <v>1030</v>
      </c>
      <c r="F33" s="275">
        <f>VLOOKUP(C33,'SOR RATE'!A:D,4,0)/1000</f>
        <v>14.0663</v>
      </c>
      <c r="G33" s="571">
        <f t="shared" si="0"/>
        <v>14488.289</v>
      </c>
    </row>
    <row r="34" spans="1:9" ht="16.5" customHeight="1">
      <c r="A34" s="526">
        <v>17</v>
      </c>
      <c r="B34" s="277" t="s">
        <v>566</v>
      </c>
      <c r="C34" s="526"/>
      <c r="D34" s="554"/>
      <c r="E34" s="554"/>
      <c r="F34" s="554"/>
      <c r="G34" s="543">
        <f>SUM(G9:G33)</f>
        <v>193002.58061999996</v>
      </c>
      <c r="H34" s="75"/>
      <c r="I34" s="16"/>
    </row>
    <row r="35" spans="1:9" ht="16.5" customHeight="1">
      <c r="A35" s="552">
        <v>18</v>
      </c>
      <c r="B35" s="61" t="s">
        <v>565</v>
      </c>
      <c r="C35" s="804"/>
      <c r="D35" s="805"/>
      <c r="E35" s="805"/>
      <c r="F35" s="554">
        <v>0.09</v>
      </c>
      <c r="G35" s="571">
        <f>G34*F35</f>
        <v>17370.232255799998</v>
      </c>
      <c r="H35" s="75"/>
      <c r="I35" s="127"/>
    </row>
    <row r="36" spans="1:7" ht="18" customHeight="1">
      <c r="A36" s="554">
        <v>19</v>
      </c>
      <c r="B36" s="274" t="s">
        <v>1613</v>
      </c>
      <c r="C36" s="554"/>
      <c r="D36" s="554" t="s">
        <v>749</v>
      </c>
      <c r="E36" s="554">
        <v>1</v>
      </c>
      <c r="F36" s="571">
        <f>97*1.11*1.086275*1.1112*1.0685*1.06217*1.059*1.2778</f>
        <v>199.5970562453939</v>
      </c>
      <c r="G36" s="571">
        <f>F36*E36</f>
        <v>199.5970562453939</v>
      </c>
    </row>
    <row r="37" spans="1:8" ht="17.25" customHeight="1">
      <c r="A37" s="554">
        <v>20</v>
      </c>
      <c r="B37" s="274" t="s">
        <v>1624</v>
      </c>
      <c r="C37" s="554"/>
      <c r="D37" s="554"/>
      <c r="E37" s="554"/>
      <c r="F37" s="554"/>
      <c r="G37" s="571">
        <v>51062.76</v>
      </c>
      <c r="H37" s="18"/>
    </row>
    <row r="38" spans="1:9" ht="30" customHeight="1">
      <c r="A38" s="554">
        <v>21</v>
      </c>
      <c r="B38" s="274" t="s">
        <v>1615</v>
      </c>
      <c r="C38" s="554"/>
      <c r="D38" s="554"/>
      <c r="E38" s="554"/>
      <c r="F38" s="554"/>
      <c r="G38" s="275">
        <f>(4106.81*1.88%)+4106.81</f>
        <v>4184.018028</v>
      </c>
      <c r="H38" s="334"/>
      <c r="I38" s="295"/>
    </row>
    <row r="39" spans="1:8" ht="16.5" customHeight="1">
      <c r="A39" s="526">
        <v>22</v>
      </c>
      <c r="B39" s="277" t="s">
        <v>567</v>
      </c>
      <c r="C39" s="554"/>
      <c r="D39" s="554"/>
      <c r="E39" s="554"/>
      <c r="F39" s="554"/>
      <c r="G39" s="543">
        <f>G34+G35+G36+G37+G38</f>
        <v>265819.18796004535</v>
      </c>
      <c r="H39" s="77"/>
    </row>
    <row r="40" spans="1:8" ht="30" customHeight="1">
      <c r="A40" s="554">
        <v>23</v>
      </c>
      <c r="B40" s="61" t="s">
        <v>1747</v>
      </c>
      <c r="C40" s="554"/>
      <c r="D40" s="554"/>
      <c r="E40" s="554"/>
      <c r="F40" s="554">
        <v>0.125</v>
      </c>
      <c r="G40" s="571">
        <f>G34*F40</f>
        <v>24125.322577499996</v>
      </c>
      <c r="H40" s="120"/>
    </row>
    <row r="41" spans="1:9" ht="14.25">
      <c r="A41" s="554">
        <v>24</v>
      </c>
      <c r="B41" s="274" t="s">
        <v>1581</v>
      </c>
      <c r="C41" s="554"/>
      <c r="D41" s="554"/>
      <c r="E41" s="554"/>
      <c r="F41" s="554"/>
      <c r="G41" s="571">
        <f>G39+G40</f>
        <v>289944.5105375454</v>
      </c>
      <c r="I41" s="72"/>
    </row>
    <row r="42" spans="1:7" ht="17.25" customHeight="1">
      <c r="A42" s="526">
        <v>25</v>
      </c>
      <c r="B42" s="280" t="s">
        <v>1582</v>
      </c>
      <c r="C42" s="554"/>
      <c r="D42" s="554"/>
      <c r="E42" s="554"/>
      <c r="F42" s="554"/>
      <c r="G42" s="543">
        <f>ROUND(G41,0)</f>
        <v>289945</v>
      </c>
    </row>
    <row r="43" spans="1:7" ht="12.75">
      <c r="A43" s="346"/>
      <c r="B43" s="58"/>
      <c r="C43" s="34"/>
      <c r="D43" s="285"/>
      <c r="E43" s="285"/>
      <c r="F43" s="285"/>
      <c r="G43" s="294"/>
    </row>
    <row r="44" spans="1:7" ht="42.75" customHeight="1">
      <c r="A44" s="1071" t="s">
        <v>1564</v>
      </c>
      <c r="B44" s="1162" t="s">
        <v>1625</v>
      </c>
      <c r="C44" s="1162"/>
      <c r="D44" s="1162"/>
      <c r="E44" s="1162"/>
      <c r="F44" s="1162"/>
      <c r="G44" s="26"/>
    </row>
    <row r="45" spans="1:7" ht="28.5" customHeight="1">
      <c r="A45" s="1072"/>
      <c r="B45" s="1161" t="s">
        <v>1626</v>
      </c>
      <c r="C45" s="1161"/>
      <c r="D45" s="1161"/>
      <c r="E45" s="1161"/>
      <c r="F45" s="1161"/>
      <c r="G45" s="26"/>
    </row>
    <row r="46" spans="1:2" ht="14.25">
      <c r="A46" s="41" t="s">
        <v>982</v>
      </c>
      <c r="B46" s="492" t="s">
        <v>1749</v>
      </c>
    </row>
    <row r="60" ht="12.75">
      <c r="C60" s="1"/>
    </row>
  </sheetData>
  <sheetProtection/>
  <mergeCells count="9">
    <mergeCell ref="A44:A45"/>
    <mergeCell ref="B44:F44"/>
    <mergeCell ref="B45:F45"/>
    <mergeCell ref="B1:C1"/>
    <mergeCell ref="B3:F3"/>
    <mergeCell ref="F5:G5"/>
    <mergeCell ref="A20:A22"/>
    <mergeCell ref="A23:A29"/>
    <mergeCell ref="A30:A31"/>
  </mergeCells>
  <printOptions horizontalCentered="1"/>
  <pageMargins left="0.83" right="0.15" top="0.75" bottom="0.32" header="0.41" footer="0.16"/>
  <pageSetup horizontalDpi="600" verticalDpi="600" orientation="landscape" paperSize="9" scale="125" r:id="rId1"/>
  <ignoredErrors>
    <ignoredError sqref="F26 F17" formula="1"/>
  </ignoredErrors>
</worksheet>
</file>

<file path=xl/worksheets/sheet21.xml><?xml version="1.0" encoding="utf-8"?>
<worksheet xmlns="http://schemas.openxmlformats.org/spreadsheetml/2006/main" xmlns:r="http://schemas.openxmlformats.org/officeDocument/2006/relationships">
  <dimension ref="A2:U17"/>
  <sheetViews>
    <sheetView zoomScalePageLayoutView="0" workbookViewId="0" topLeftCell="A1">
      <pane xSplit="2" ySplit="9" topLeftCell="C10" activePane="bottomRight" state="frozen"/>
      <selection pane="topLeft" activeCell="C10" sqref="C10"/>
      <selection pane="topRight" activeCell="C10" sqref="C10"/>
      <selection pane="bottomLeft" activeCell="C10" sqref="C10"/>
      <selection pane="bottomRight" activeCell="J11" sqref="J11"/>
    </sheetView>
  </sheetViews>
  <sheetFormatPr defaultColWidth="9.140625" defaultRowHeight="12.75"/>
  <cols>
    <col min="1" max="1" width="4.8515625" style="1" customWidth="1"/>
    <col min="2" max="2" width="28.140625" style="1" customWidth="1"/>
    <col min="3" max="3" width="14.00390625" style="1" bestFit="1" customWidth="1"/>
    <col min="4" max="4" width="8.00390625" style="1" bestFit="1" customWidth="1"/>
    <col min="5" max="5" width="9.28125" style="1" bestFit="1" customWidth="1"/>
    <col min="6" max="6" width="11.7109375" style="1" customWidth="1"/>
    <col min="7" max="8" width="9.28125" style="1" bestFit="1" customWidth="1"/>
    <col min="9" max="9" width="13.00390625" style="1" customWidth="1"/>
    <col min="10" max="10" width="18.421875" style="1" bestFit="1" customWidth="1"/>
    <col min="11" max="16384" width="9.140625" style="1" customWidth="1"/>
  </cols>
  <sheetData>
    <row r="2" spans="1:8" ht="18">
      <c r="A2" s="21"/>
      <c r="C2" s="1107" t="s">
        <v>1627</v>
      </c>
      <c r="D2" s="1107"/>
      <c r="E2" s="1107"/>
      <c r="F2" s="1107"/>
      <c r="G2" s="21"/>
      <c r="H2" s="21"/>
    </row>
    <row r="3" spans="1:8" ht="18">
      <c r="A3" s="21"/>
      <c r="B3" s="271"/>
      <c r="C3" s="271"/>
      <c r="D3" s="271"/>
      <c r="E3" s="272"/>
      <c r="F3" s="21"/>
      <c r="G3" s="21"/>
      <c r="H3" s="21"/>
    </row>
    <row r="4" spans="2:8" ht="15.75" customHeight="1">
      <c r="B4" s="1164" t="s">
        <v>1628</v>
      </c>
      <c r="C4" s="1164"/>
      <c r="D4" s="1164"/>
      <c r="E4" s="1164"/>
      <c r="F4" s="1164"/>
      <c r="G4" s="1164"/>
      <c r="H4" s="1164"/>
    </row>
    <row r="5" spans="1:10" ht="15.75">
      <c r="A5" s="466"/>
      <c r="B5" s="466"/>
      <c r="C5" s="466"/>
      <c r="D5" s="466"/>
      <c r="E5" s="466"/>
      <c r="F5" s="466"/>
      <c r="G5" s="466"/>
      <c r="H5" s="466"/>
      <c r="J5" s="541"/>
    </row>
    <row r="6" spans="1:8" ht="15.75">
      <c r="A6" s="466"/>
      <c r="B6" s="466"/>
      <c r="C6" s="466"/>
      <c r="D6" s="466"/>
      <c r="E6" s="466"/>
      <c r="F6" s="466"/>
      <c r="G6" s="1165" t="s">
        <v>1823</v>
      </c>
      <c r="H6" s="1165"/>
    </row>
    <row r="7" spans="1:8" ht="15.75">
      <c r="A7" s="466"/>
      <c r="B7" s="466"/>
      <c r="C7" s="466"/>
      <c r="D7" s="466"/>
      <c r="E7" s="466"/>
      <c r="F7" s="466"/>
      <c r="G7" s="467"/>
      <c r="H7" s="467"/>
    </row>
    <row r="8" spans="1:21" ht="99" customHeight="1">
      <c r="A8" s="468" t="s">
        <v>1225</v>
      </c>
      <c r="B8" s="468" t="s">
        <v>1629</v>
      </c>
      <c r="C8" s="526" t="s">
        <v>1377</v>
      </c>
      <c r="D8" s="468" t="s">
        <v>1380</v>
      </c>
      <c r="E8" s="469" t="s">
        <v>1630</v>
      </c>
      <c r="F8" s="469" t="s">
        <v>1631</v>
      </c>
      <c r="G8" s="470" t="s">
        <v>1632</v>
      </c>
      <c r="H8" s="471" t="s">
        <v>1633</v>
      </c>
      <c r="I8" s="471" t="s">
        <v>1634</v>
      </c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</row>
    <row r="9" spans="1:9" ht="15">
      <c r="A9" s="468">
        <v>1</v>
      </c>
      <c r="B9" s="468">
        <v>2</v>
      </c>
      <c r="C9" s="526">
        <v>3</v>
      </c>
      <c r="D9" s="468">
        <v>4</v>
      </c>
      <c r="E9" s="469">
        <v>5</v>
      </c>
      <c r="F9" s="469">
        <v>6</v>
      </c>
      <c r="G9" s="471">
        <v>7</v>
      </c>
      <c r="H9" s="471">
        <v>8</v>
      </c>
      <c r="I9" s="471">
        <v>9</v>
      </c>
    </row>
    <row r="10" spans="1:9" ht="35.25" customHeight="1">
      <c r="A10" s="1006">
        <v>1</v>
      </c>
      <c r="B10" s="1007" t="s">
        <v>1635</v>
      </c>
      <c r="C10" s="1006">
        <v>7131950010</v>
      </c>
      <c r="D10" s="1006" t="s">
        <v>996</v>
      </c>
      <c r="E10" s="275">
        <f>VLOOKUP(C10,'SOR RATE'!A:D,4,0)</f>
        <v>990.47</v>
      </c>
      <c r="F10" s="1008">
        <f>E10*9%</f>
        <v>89.1423</v>
      </c>
      <c r="G10" s="1008">
        <f>100*1.059*1.2778</f>
        <v>135.31902</v>
      </c>
      <c r="H10" s="1008">
        <f>E10+F10+G10</f>
        <v>1214.93132</v>
      </c>
      <c r="I10" s="278">
        <f>ROUND(H10,0)</f>
        <v>1215</v>
      </c>
    </row>
    <row r="11" spans="1:9" ht="35.25" customHeight="1">
      <c r="A11" s="1006">
        <v>2</v>
      </c>
      <c r="B11" s="1007" t="s">
        <v>1636</v>
      </c>
      <c r="C11" s="1006">
        <v>7131950012</v>
      </c>
      <c r="D11" s="1006" t="s">
        <v>996</v>
      </c>
      <c r="E11" s="275">
        <f>VLOOKUP(C11,'SOR RATE'!A:D,4,0)</f>
        <v>1193.13</v>
      </c>
      <c r="F11" s="1008">
        <f>E11*9%</f>
        <v>107.38170000000001</v>
      </c>
      <c r="G11" s="1008">
        <f>100*1.059*1.2778</f>
        <v>135.31902</v>
      </c>
      <c r="H11" s="1008">
        <f>E11+F11+G11</f>
        <v>1435.83072</v>
      </c>
      <c r="I11" s="278">
        <f>ROUND(H11,0)</f>
        <v>1436</v>
      </c>
    </row>
    <row r="12" spans="13:14" ht="16.5" customHeight="1">
      <c r="M12" s="51"/>
      <c r="N12" s="51"/>
    </row>
    <row r="13" spans="1:8" ht="14.25">
      <c r="A13" s="472"/>
      <c r="B13" s="472"/>
      <c r="C13" s="472"/>
      <c r="D13" s="472"/>
      <c r="E13" s="472"/>
      <c r="H13" s="472"/>
    </row>
    <row r="14" spans="1:15" ht="15" customHeight="1">
      <c r="A14" s="21"/>
      <c r="B14" s="1125" t="s">
        <v>565</v>
      </c>
      <c r="C14" s="1125"/>
      <c r="D14" s="1125"/>
      <c r="E14" s="332">
        <v>0.09</v>
      </c>
      <c r="H14" s="21"/>
      <c r="M14" s="127"/>
      <c r="N14" s="127"/>
      <c r="O14" s="127"/>
    </row>
    <row r="15" spans="1:8" ht="14.25">
      <c r="A15" s="21"/>
      <c r="B15" s="21"/>
      <c r="C15" s="21"/>
      <c r="D15" s="21"/>
      <c r="E15" s="21"/>
      <c r="F15" s="21"/>
      <c r="G15" s="21"/>
      <c r="H15" s="21"/>
    </row>
    <row r="16" spans="1:8" ht="14.25">
      <c r="A16" s="21"/>
      <c r="B16" s="21"/>
      <c r="C16" s="21"/>
      <c r="D16" s="21"/>
      <c r="E16" s="21"/>
      <c r="F16" s="21"/>
      <c r="G16" s="21"/>
      <c r="H16" s="21"/>
    </row>
    <row r="17" spans="1:8" ht="14.25">
      <c r="A17" s="21"/>
      <c r="B17" s="21"/>
      <c r="C17" s="21"/>
      <c r="D17" s="21"/>
      <c r="E17" s="21"/>
      <c r="F17" s="21"/>
      <c r="G17" s="21"/>
      <c r="H17" s="21"/>
    </row>
  </sheetData>
  <sheetProtection/>
  <mergeCells count="4">
    <mergeCell ref="C2:F2"/>
    <mergeCell ref="B4:H4"/>
    <mergeCell ref="G6:H6"/>
    <mergeCell ref="B14:D14"/>
  </mergeCells>
  <hyperlinks>
    <hyperlink ref="G13:H13" location="'Vol IV.b'!G342:G343" display="Back to Vol IV B"/>
  </hyperlinks>
  <printOptions/>
  <pageMargins left="1.06" right="0.16" top="1" bottom="1" header="0.5" footer="0.5"/>
  <pageSetup horizontalDpi="600" verticalDpi="600" orientation="landscape" scale="11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R40"/>
  <sheetViews>
    <sheetView zoomScale="85" zoomScaleNormal="85" zoomScalePageLayoutView="0" workbookViewId="0" topLeftCell="A1">
      <pane xSplit="2" ySplit="9" topLeftCell="D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R17" sqref="R17"/>
    </sheetView>
  </sheetViews>
  <sheetFormatPr defaultColWidth="9.140625" defaultRowHeight="12.75"/>
  <cols>
    <col min="1" max="1" width="5.57421875" style="540" customWidth="1"/>
    <col min="2" max="2" width="30.8515625" style="1" customWidth="1"/>
    <col min="3" max="3" width="15.00390625" style="540" customWidth="1"/>
    <col min="4" max="4" width="5.8515625" style="1" bestFit="1" customWidth="1"/>
    <col min="5" max="5" width="5.7109375" style="1" bestFit="1" customWidth="1"/>
    <col min="6" max="6" width="10.28125" style="1" bestFit="1" customWidth="1"/>
    <col min="7" max="7" width="11.421875" style="1" customWidth="1"/>
    <col min="8" max="8" width="5.7109375" style="1" bestFit="1" customWidth="1"/>
    <col min="9" max="9" width="10.28125" style="1" bestFit="1" customWidth="1"/>
    <col min="10" max="10" width="11.8515625" style="1" customWidth="1"/>
    <col min="11" max="11" width="5.7109375" style="1" bestFit="1" customWidth="1"/>
    <col min="12" max="12" width="10.28125" style="1" bestFit="1" customWidth="1"/>
    <col min="13" max="13" width="12.8515625" style="1" customWidth="1"/>
    <col min="14" max="14" width="5.7109375" style="1" bestFit="1" customWidth="1"/>
    <col min="15" max="15" width="10.28125" style="1" bestFit="1" customWidth="1"/>
    <col min="16" max="16" width="12.140625" style="1" customWidth="1"/>
    <col min="17" max="17" width="24.8515625" style="1" customWidth="1"/>
    <col min="18" max="18" width="14.140625" style="1" customWidth="1"/>
    <col min="19" max="16384" width="9.140625" style="1" customWidth="1"/>
  </cols>
  <sheetData>
    <row r="1" spans="2:16" ht="20.25">
      <c r="B1" s="30"/>
      <c r="C1" s="30"/>
      <c r="D1" s="1124" t="s">
        <v>1637</v>
      </c>
      <c r="E1" s="1124"/>
      <c r="F1" s="1124"/>
      <c r="G1" s="1124"/>
      <c r="H1" s="1124"/>
      <c r="I1" s="1124"/>
      <c r="J1" s="30"/>
      <c r="K1" s="30"/>
      <c r="L1" s="30"/>
      <c r="M1" s="30"/>
      <c r="N1" s="30"/>
      <c r="O1" s="30"/>
      <c r="P1" s="30"/>
    </row>
    <row r="2" ht="10.5" customHeight="1"/>
    <row r="3" spans="3:16" ht="42" customHeight="1">
      <c r="C3" s="1080" t="s">
        <v>1638</v>
      </c>
      <c r="D3" s="1080"/>
      <c r="E3" s="1080"/>
      <c r="F3" s="1080"/>
      <c r="G3" s="1080"/>
      <c r="H3" s="1080"/>
      <c r="I3" s="1080"/>
      <c r="J3" s="1080"/>
      <c r="K3" s="1080"/>
      <c r="L3" s="1080"/>
      <c r="M3" s="1080"/>
      <c r="N3" s="78"/>
      <c r="O3" s="78"/>
      <c r="P3" s="36"/>
    </row>
    <row r="4" spans="1:17" ht="15.7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33"/>
    </row>
    <row r="5" spans="1:16" ht="20.25" customHeight="1">
      <c r="A5" s="541"/>
      <c r="B5" s="33"/>
      <c r="C5" s="541"/>
      <c r="D5" s="33"/>
      <c r="E5" s="33"/>
      <c r="F5" s="33"/>
      <c r="G5" s="33"/>
      <c r="H5" s="33"/>
      <c r="I5" s="33"/>
      <c r="J5" s="33"/>
      <c r="K5" s="33"/>
      <c r="L5" s="33"/>
      <c r="M5" s="33"/>
      <c r="N5" s="1166" t="s">
        <v>1823</v>
      </c>
      <c r="O5" s="1166"/>
      <c r="P5" s="36"/>
    </row>
    <row r="6" spans="1:16" ht="14.25" customHeight="1">
      <c r="A6" s="541"/>
      <c r="B6" s="33"/>
      <c r="C6" s="541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17"/>
      <c r="P6" s="17"/>
    </row>
    <row r="7" spans="1:16" ht="15.75">
      <c r="A7" s="1077" t="s">
        <v>1225</v>
      </c>
      <c r="B7" s="1113" t="s">
        <v>16</v>
      </c>
      <c r="C7" s="1067" t="s">
        <v>1377</v>
      </c>
      <c r="D7" s="1113" t="s">
        <v>17</v>
      </c>
      <c r="E7" s="1113" t="s">
        <v>1363</v>
      </c>
      <c r="F7" s="1113"/>
      <c r="G7" s="1113"/>
      <c r="H7" s="1113" t="s">
        <v>1364</v>
      </c>
      <c r="I7" s="1113"/>
      <c r="J7" s="1113"/>
      <c r="K7" s="1113" t="s">
        <v>1365</v>
      </c>
      <c r="L7" s="1113"/>
      <c r="M7" s="1113"/>
      <c r="N7" s="1113" t="s">
        <v>1366</v>
      </c>
      <c r="O7" s="1113"/>
      <c r="P7" s="1113"/>
    </row>
    <row r="8" spans="1:16" ht="15.75">
      <c r="A8" s="1078"/>
      <c r="B8" s="1113"/>
      <c r="C8" s="1067"/>
      <c r="D8" s="1113"/>
      <c r="E8" s="547" t="s">
        <v>580</v>
      </c>
      <c r="F8" s="547" t="s">
        <v>746</v>
      </c>
      <c r="G8" s="547" t="s">
        <v>747</v>
      </c>
      <c r="H8" s="547" t="s">
        <v>580</v>
      </c>
      <c r="I8" s="547" t="s">
        <v>746</v>
      </c>
      <c r="J8" s="547" t="s">
        <v>747</v>
      </c>
      <c r="K8" s="547" t="s">
        <v>580</v>
      </c>
      <c r="L8" s="547" t="s">
        <v>746</v>
      </c>
      <c r="M8" s="547" t="s">
        <v>747</v>
      </c>
      <c r="N8" s="547" t="s">
        <v>580</v>
      </c>
      <c r="O8" s="547" t="s">
        <v>746</v>
      </c>
      <c r="P8" s="547" t="s">
        <v>747</v>
      </c>
    </row>
    <row r="9" spans="1:16" ht="15.75">
      <c r="A9" s="547">
        <v>1</v>
      </c>
      <c r="B9" s="547">
        <v>2</v>
      </c>
      <c r="C9" s="547">
        <v>3</v>
      </c>
      <c r="D9" s="547">
        <v>4</v>
      </c>
      <c r="E9" s="547">
        <v>5</v>
      </c>
      <c r="F9" s="547">
        <v>6</v>
      </c>
      <c r="G9" s="547">
        <v>7</v>
      </c>
      <c r="H9" s="547">
        <v>8</v>
      </c>
      <c r="I9" s="547">
        <v>9</v>
      </c>
      <c r="J9" s="547">
        <v>10</v>
      </c>
      <c r="K9" s="547">
        <v>11</v>
      </c>
      <c r="L9" s="547">
        <v>12</v>
      </c>
      <c r="M9" s="547">
        <v>13</v>
      </c>
      <c r="N9" s="547">
        <v>14</v>
      </c>
      <c r="O9" s="547">
        <v>15</v>
      </c>
      <c r="P9" s="473">
        <v>16</v>
      </c>
    </row>
    <row r="10" spans="1:17" ht="51" customHeight="1">
      <c r="A10" s="711" t="s">
        <v>1462</v>
      </c>
      <c r="B10" s="626" t="s">
        <v>1639</v>
      </c>
      <c r="C10" s="519">
        <v>7131300046</v>
      </c>
      <c r="D10" s="711" t="s">
        <v>19</v>
      </c>
      <c r="E10" s="711">
        <v>1</v>
      </c>
      <c r="F10" s="816">
        <f>VLOOKUP(C10,'SOR RATE'!A:D,4,0)</f>
        <v>1621.45</v>
      </c>
      <c r="G10" s="817" t="s">
        <v>902</v>
      </c>
      <c r="H10" s="547"/>
      <c r="I10" s="547"/>
      <c r="J10" s="547"/>
      <c r="K10" s="547"/>
      <c r="L10" s="547"/>
      <c r="M10" s="547"/>
      <c r="N10" s="547"/>
      <c r="O10" s="547"/>
      <c r="P10" s="547"/>
      <c r="Q10" s="307"/>
    </row>
    <row r="11" spans="1:17" ht="43.5" customHeight="1">
      <c r="A11" s="624" t="s">
        <v>1640</v>
      </c>
      <c r="B11" s="626" t="s">
        <v>1376</v>
      </c>
      <c r="C11" s="519">
        <v>7131310997</v>
      </c>
      <c r="D11" s="705" t="s">
        <v>19</v>
      </c>
      <c r="E11" s="705">
        <v>1</v>
      </c>
      <c r="F11" s="816">
        <f>VLOOKUP(C11,'SOR RATE'!A:D,4,0)</f>
        <v>1639.61</v>
      </c>
      <c r="G11" s="816">
        <f>F11*E11</f>
        <v>1639.61</v>
      </c>
      <c r="H11" s="705">
        <v>1</v>
      </c>
      <c r="I11" s="706">
        <f>+F11</f>
        <v>1639.61</v>
      </c>
      <c r="J11" s="706">
        <f>I11*H11</f>
        <v>1639.61</v>
      </c>
      <c r="K11" s="705">
        <v>1</v>
      </c>
      <c r="L11" s="706">
        <f>+F11</f>
        <v>1639.61</v>
      </c>
      <c r="M11" s="706">
        <f>L11*K11</f>
        <v>1639.61</v>
      </c>
      <c r="N11" s="705">
        <v>1</v>
      </c>
      <c r="O11" s="706">
        <f>+F11</f>
        <v>1639.61</v>
      </c>
      <c r="P11" s="706">
        <f>O11*N11</f>
        <v>1639.61</v>
      </c>
      <c r="Q11" s="307"/>
    </row>
    <row r="12" spans="1:16" ht="15.75" customHeight="1">
      <c r="A12" s="1117">
        <v>2</v>
      </c>
      <c r="B12" s="757" t="s">
        <v>1641</v>
      </c>
      <c r="C12" s="1009"/>
      <c r="D12" s="1010"/>
      <c r="E12" s="1010"/>
      <c r="F12" s="1010"/>
      <c r="G12" s="1010"/>
      <c r="H12" s="1010"/>
      <c r="I12" s="1010"/>
      <c r="J12" s="1010"/>
      <c r="K12" s="1010"/>
      <c r="L12" s="1010"/>
      <c r="M12" s="1010"/>
      <c r="N12" s="1010"/>
      <c r="O12" s="1010"/>
      <c r="P12" s="1011"/>
    </row>
    <row r="13" spans="1:16" ht="16.5" customHeight="1">
      <c r="A13" s="1118"/>
      <c r="B13" s="844" t="s">
        <v>1642</v>
      </c>
      <c r="C13" s="819">
        <v>7132230016</v>
      </c>
      <c r="D13" s="705" t="s">
        <v>19</v>
      </c>
      <c r="E13" s="817">
        <v>4</v>
      </c>
      <c r="F13" s="816">
        <f>VLOOKUP(C13,'SOR RATE'!A:D,4,0)</f>
        <v>345.07</v>
      </c>
      <c r="G13" s="816">
        <f>F13*E13</f>
        <v>1380.28</v>
      </c>
      <c r="H13" s="705">
        <v>4</v>
      </c>
      <c r="I13" s="706">
        <f>+F13</f>
        <v>345.07</v>
      </c>
      <c r="J13" s="706">
        <f>I13*H13</f>
        <v>1380.28</v>
      </c>
      <c r="K13" s="817" t="s">
        <v>902</v>
      </c>
      <c r="L13" s="817" t="s">
        <v>902</v>
      </c>
      <c r="M13" s="817" t="s">
        <v>902</v>
      </c>
      <c r="N13" s="817" t="s">
        <v>902</v>
      </c>
      <c r="O13" s="817" t="s">
        <v>902</v>
      </c>
      <c r="P13" s="817" t="s">
        <v>902</v>
      </c>
    </row>
    <row r="14" spans="1:16" ht="15.75" customHeight="1">
      <c r="A14" s="1118"/>
      <c r="B14" s="844" t="s">
        <v>1643</v>
      </c>
      <c r="C14" s="819">
        <v>7132230019</v>
      </c>
      <c r="D14" s="705" t="s">
        <v>19</v>
      </c>
      <c r="E14" s="817" t="s">
        <v>902</v>
      </c>
      <c r="F14" s="817" t="s">
        <v>902</v>
      </c>
      <c r="G14" s="817" t="s">
        <v>902</v>
      </c>
      <c r="H14" s="817" t="s">
        <v>902</v>
      </c>
      <c r="I14" s="817" t="s">
        <v>902</v>
      </c>
      <c r="J14" s="817" t="s">
        <v>902</v>
      </c>
      <c r="K14" s="705">
        <v>4</v>
      </c>
      <c r="L14" s="816">
        <f>VLOOKUP(C14,'SOR RATE'!A:D,4,0)</f>
        <v>345.07</v>
      </c>
      <c r="M14" s="706">
        <f>L14*K14</f>
        <v>1380.28</v>
      </c>
      <c r="N14" s="817" t="s">
        <v>902</v>
      </c>
      <c r="O14" s="817" t="s">
        <v>902</v>
      </c>
      <c r="P14" s="817" t="s">
        <v>902</v>
      </c>
    </row>
    <row r="15" spans="1:16" ht="15.75" customHeight="1">
      <c r="A15" s="1119"/>
      <c r="B15" s="1012" t="s">
        <v>1644</v>
      </c>
      <c r="C15" s="819">
        <v>7132230021</v>
      </c>
      <c r="D15" s="705" t="s">
        <v>19</v>
      </c>
      <c r="E15" s="817" t="s">
        <v>902</v>
      </c>
      <c r="F15" s="817" t="s">
        <v>902</v>
      </c>
      <c r="G15" s="817" t="s">
        <v>902</v>
      </c>
      <c r="H15" s="817" t="s">
        <v>902</v>
      </c>
      <c r="I15" s="817" t="s">
        <v>902</v>
      </c>
      <c r="J15" s="817" t="s">
        <v>902</v>
      </c>
      <c r="K15" s="817" t="s">
        <v>902</v>
      </c>
      <c r="L15" s="817" t="s">
        <v>902</v>
      </c>
      <c r="M15" s="817" t="s">
        <v>902</v>
      </c>
      <c r="N15" s="705">
        <v>4</v>
      </c>
      <c r="O15" s="816">
        <f>VLOOKUP(C15,'SOR RATE'!A:D,4,0)</f>
        <v>276.27</v>
      </c>
      <c r="P15" s="706">
        <f>O15*N15</f>
        <v>1105.08</v>
      </c>
    </row>
    <row r="16" spans="1:16" ht="50.25" customHeight="1">
      <c r="A16" s="711">
        <v>3</v>
      </c>
      <c r="B16" s="626" t="s">
        <v>1645</v>
      </c>
      <c r="C16" s="519">
        <v>7132406420</v>
      </c>
      <c r="D16" s="705" t="s">
        <v>19</v>
      </c>
      <c r="E16" s="705">
        <v>1</v>
      </c>
      <c r="F16" s="816">
        <f>VLOOKUP(C16,'SOR RATE'!A506:D506,4,0)</f>
        <v>2580.37</v>
      </c>
      <c r="G16" s="816">
        <f>F16*E16</f>
        <v>2580.37</v>
      </c>
      <c r="H16" s="705">
        <v>1</v>
      </c>
      <c r="I16" s="706">
        <f>+F16</f>
        <v>2580.37</v>
      </c>
      <c r="J16" s="706">
        <f>I16*H16</f>
        <v>2580.37</v>
      </c>
      <c r="K16" s="705">
        <v>1</v>
      </c>
      <c r="L16" s="706">
        <f>+I16</f>
        <v>2580.37</v>
      </c>
      <c r="M16" s="706">
        <f>L16*K16</f>
        <v>2580.37</v>
      </c>
      <c r="N16" s="705">
        <v>1</v>
      </c>
      <c r="O16" s="706">
        <f>+L16</f>
        <v>2580.37</v>
      </c>
      <c r="P16" s="706">
        <f>O16*N16</f>
        <v>2580.37</v>
      </c>
    </row>
    <row r="17" spans="1:17" ht="36" customHeight="1">
      <c r="A17" s="624">
        <v>4</v>
      </c>
      <c r="B17" s="626" t="s">
        <v>1646</v>
      </c>
      <c r="C17" s="519">
        <v>7130310654</v>
      </c>
      <c r="D17" s="624" t="s">
        <v>980</v>
      </c>
      <c r="E17" s="624">
        <v>12</v>
      </c>
      <c r="F17" s="816">
        <f>VLOOKUP(C17,'SOR RATE'!A55:D55,4,0)/1000</f>
        <v>62.75854</v>
      </c>
      <c r="G17" s="816">
        <f>F17*E17</f>
        <v>753.10248</v>
      </c>
      <c r="H17" s="705">
        <v>12</v>
      </c>
      <c r="I17" s="706">
        <f>+F17</f>
        <v>62.75854</v>
      </c>
      <c r="J17" s="706">
        <f>I17*H17</f>
        <v>753.10248</v>
      </c>
      <c r="K17" s="705">
        <v>12</v>
      </c>
      <c r="L17" s="706">
        <f>+I17</f>
        <v>62.75854</v>
      </c>
      <c r="M17" s="706">
        <f>L17*K17</f>
        <v>753.10248</v>
      </c>
      <c r="N17" s="705">
        <v>12</v>
      </c>
      <c r="O17" s="706">
        <f>+L17</f>
        <v>62.75854</v>
      </c>
      <c r="P17" s="706">
        <f>O17*N17</f>
        <v>753.10248</v>
      </c>
      <c r="Q17" s="31"/>
    </row>
    <row r="18" spans="1:18" ht="20.25" customHeight="1">
      <c r="A18" s="547">
        <v>5</v>
      </c>
      <c r="B18" s="703" t="s">
        <v>566</v>
      </c>
      <c r="C18" s="547"/>
      <c r="D18" s="547"/>
      <c r="E18" s="547"/>
      <c r="F18" s="547"/>
      <c r="G18" s="712">
        <f>SUM(G11:G17)</f>
        <v>6353.36248</v>
      </c>
      <c r="H18" s="712"/>
      <c r="I18" s="712"/>
      <c r="J18" s="712">
        <f>SUM(J11:J17)</f>
        <v>6353.36248</v>
      </c>
      <c r="K18" s="712"/>
      <c r="L18" s="712"/>
      <c r="M18" s="712">
        <f>SUM(M11:M17)</f>
        <v>6353.36248</v>
      </c>
      <c r="N18" s="712"/>
      <c r="O18" s="712"/>
      <c r="P18" s="712">
        <f>SUM(P11:P17)</f>
        <v>6078.162479999999</v>
      </c>
      <c r="Q18" s="307"/>
      <c r="R18" s="3"/>
    </row>
    <row r="19" spans="1:18" ht="20.25" customHeight="1">
      <c r="A19" s="849">
        <v>6</v>
      </c>
      <c r="B19" s="701" t="s">
        <v>565</v>
      </c>
      <c r="C19" s="866"/>
      <c r="D19" s="867"/>
      <c r="E19" s="867"/>
      <c r="F19" s="711">
        <v>0.09</v>
      </c>
      <c r="G19" s="816">
        <f>G18*F19</f>
        <v>571.8026232</v>
      </c>
      <c r="H19" s="1013"/>
      <c r="I19" s="711">
        <v>0.09</v>
      </c>
      <c r="J19" s="816">
        <f>J18*I19</f>
        <v>571.8026232</v>
      </c>
      <c r="K19" s="1013"/>
      <c r="L19" s="711">
        <v>0.09</v>
      </c>
      <c r="M19" s="816">
        <f>M18*L19</f>
        <v>571.8026232</v>
      </c>
      <c r="N19" s="1013"/>
      <c r="O19" s="711">
        <v>0.09</v>
      </c>
      <c r="P19" s="816">
        <f>P18*O19</f>
        <v>547.0346231999999</v>
      </c>
      <c r="Q19" s="307"/>
      <c r="R19" s="49"/>
    </row>
    <row r="20" spans="1:18" ht="37.5" customHeight="1">
      <c r="A20" s="711">
        <v>7</v>
      </c>
      <c r="B20" s="739" t="s">
        <v>1647</v>
      </c>
      <c r="C20" s="705"/>
      <c r="D20" s="705"/>
      <c r="E20" s="705"/>
      <c r="F20" s="705"/>
      <c r="G20" s="832">
        <f>(2484.62*1.88%)+2484.62</f>
        <v>2531.330856</v>
      </c>
      <c r="H20" s="705"/>
      <c r="I20" s="705"/>
      <c r="J20" s="706">
        <f>+G20</f>
        <v>2531.330856</v>
      </c>
      <c r="K20" s="705"/>
      <c r="L20" s="705"/>
      <c r="M20" s="706">
        <f>+G20</f>
        <v>2531.330856</v>
      </c>
      <c r="N20" s="705"/>
      <c r="O20" s="705"/>
      <c r="P20" s="706">
        <f>+G20</f>
        <v>2531.330856</v>
      </c>
      <c r="Q20" s="286"/>
      <c r="R20" s="131"/>
    </row>
    <row r="21" spans="1:17" ht="19.5" customHeight="1">
      <c r="A21" s="547">
        <v>8</v>
      </c>
      <c r="B21" s="703" t="s">
        <v>567</v>
      </c>
      <c r="C21" s="705"/>
      <c r="D21" s="705"/>
      <c r="E21" s="705"/>
      <c r="F21" s="705"/>
      <c r="G21" s="712">
        <f>G18+G19+G20</f>
        <v>9456.4959592</v>
      </c>
      <c r="H21" s="712"/>
      <c r="I21" s="712"/>
      <c r="J21" s="712">
        <f>J18+J19+J20</f>
        <v>9456.4959592</v>
      </c>
      <c r="K21" s="712"/>
      <c r="L21" s="712"/>
      <c r="M21" s="712">
        <f>M18+M19+M20</f>
        <v>9456.4959592</v>
      </c>
      <c r="N21" s="712"/>
      <c r="O21" s="712"/>
      <c r="P21" s="712">
        <f>P18+P19+P20</f>
        <v>9156.527959199999</v>
      </c>
      <c r="Q21" s="308"/>
    </row>
    <row r="22" spans="1:17" ht="64.5" customHeight="1">
      <c r="A22" s="711">
        <v>9</v>
      </c>
      <c r="B22" s="707" t="s">
        <v>1747</v>
      </c>
      <c r="C22" s="705"/>
      <c r="D22" s="705"/>
      <c r="E22" s="705"/>
      <c r="F22" s="705">
        <v>0.125</v>
      </c>
      <c r="G22" s="706">
        <f>G18*F22</f>
        <v>794.17031</v>
      </c>
      <c r="H22" s="705"/>
      <c r="I22" s="705">
        <v>0.125</v>
      </c>
      <c r="J22" s="706">
        <f>J18*I22</f>
        <v>794.17031</v>
      </c>
      <c r="K22" s="705"/>
      <c r="L22" s="705">
        <v>0.125</v>
      </c>
      <c r="M22" s="706">
        <f>M18*L22</f>
        <v>794.17031</v>
      </c>
      <c r="N22" s="705"/>
      <c r="O22" s="705">
        <v>0.125</v>
      </c>
      <c r="P22" s="706">
        <f>P18*O22</f>
        <v>759.7703099999999</v>
      </c>
      <c r="Q22" s="570"/>
    </row>
    <row r="23" spans="1:16" ht="35.25" customHeight="1">
      <c r="A23" s="711">
        <v>10</v>
      </c>
      <c r="B23" s="710" t="s">
        <v>1648</v>
      </c>
      <c r="C23" s="711"/>
      <c r="D23" s="711"/>
      <c r="E23" s="711"/>
      <c r="F23" s="711"/>
      <c r="G23" s="816">
        <f>G21+G22</f>
        <v>10250.666269199999</v>
      </c>
      <c r="H23" s="816"/>
      <c r="I23" s="816"/>
      <c r="J23" s="816">
        <f>J21+J22</f>
        <v>10250.666269199999</v>
      </c>
      <c r="K23" s="816"/>
      <c r="L23" s="816"/>
      <c r="M23" s="816">
        <f>M21+M22</f>
        <v>10250.666269199999</v>
      </c>
      <c r="N23" s="816"/>
      <c r="O23" s="816"/>
      <c r="P23" s="816">
        <f>P21+P22</f>
        <v>9916.298269199999</v>
      </c>
    </row>
    <row r="24" spans="1:16" ht="51" customHeight="1">
      <c r="A24" s="547">
        <v>11</v>
      </c>
      <c r="B24" s="717" t="s">
        <v>1649</v>
      </c>
      <c r="C24" s="547"/>
      <c r="D24" s="547"/>
      <c r="E24" s="547"/>
      <c r="F24" s="547"/>
      <c r="G24" s="712">
        <f>ROUND(G23,0)</f>
        <v>10251</v>
      </c>
      <c r="H24" s="547"/>
      <c r="I24" s="547"/>
      <c r="J24" s="712">
        <f>ROUND(J23,0)</f>
        <v>10251</v>
      </c>
      <c r="K24" s="547"/>
      <c r="L24" s="547"/>
      <c r="M24" s="712">
        <f>ROUND(M23,0)</f>
        <v>10251</v>
      </c>
      <c r="N24" s="547"/>
      <c r="O24" s="547"/>
      <c r="P24" s="712">
        <f>ROUND(P23,0)</f>
        <v>9916</v>
      </c>
    </row>
    <row r="25" spans="1:16" ht="15" customHeight="1">
      <c r="A25" s="556"/>
      <c r="B25" s="3"/>
      <c r="C25" s="556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1:16" ht="15" customHeight="1">
      <c r="A26" s="1167" t="s">
        <v>1480</v>
      </c>
      <c r="B26" s="1167"/>
      <c r="C26" s="1167"/>
      <c r="D26" s="1167"/>
      <c r="E26" s="1167"/>
      <c r="F26" s="1167"/>
      <c r="G26" s="359"/>
      <c r="H26" s="3"/>
      <c r="I26" s="3"/>
      <c r="J26" s="3"/>
      <c r="K26" s="3"/>
      <c r="L26" s="3"/>
      <c r="M26" s="3"/>
      <c r="N26" s="3"/>
      <c r="O26" s="3"/>
      <c r="P26" s="3"/>
    </row>
    <row r="27" spans="1:16" ht="7.5" customHeight="1" hidden="1">
      <c r="A27" s="1168">
        <v>38</v>
      </c>
      <c r="B27" s="1168"/>
      <c r="C27" s="1168"/>
      <c r="D27" s="1168"/>
      <c r="E27" s="1168"/>
      <c r="F27" s="1168"/>
      <c r="G27" s="1168"/>
      <c r="H27" s="1168"/>
      <c r="I27" s="1168"/>
      <c r="J27" s="1168"/>
      <c r="K27" s="1168"/>
      <c r="L27" s="1168"/>
      <c r="M27" s="1168"/>
      <c r="N27" s="1168"/>
      <c r="O27" s="1168"/>
      <c r="P27" s="1168"/>
    </row>
    <row r="28" spans="1:16" ht="15">
      <c r="A28" s="556"/>
      <c r="B28" s="3"/>
      <c r="C28" s="556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 ht="15">
      <c r="A29" s="556"/>
      <c r="B29" s="3"/>
      <c r="C29" s="556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ht="15">
      <c r="A30" s="556"/>
      <c r="B30" s="3"/>
      <c r="C30" s="556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16" ht="15">
      <c r="A31" s="556"/>
      <c r="B31" s="3"/>
      <c r="C31" s="556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6" ht="15">
      <c r="A32" s="556"/>
      <c r="B32" s="3"/>
      <c r="C32" s="556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 ht="15">
      <c r="A33" s="556"/>
      <c r="B33" s="3"/>
      <c r="C33" s="556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ht="15">
      <c r="A34" s="556"/>
      <c r="B34" s="3"/>
      <c r="C34" s="556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1:16" ht="15">
      <c r="A35" s="556"/>
      <c r="B35" s="3"/>
      <c r="C35" s="556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1:16" ht="15">
      <c r="A36" s="556"/>
      <c r="B36" s="3"/>
      <c r="C36" s="556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</row>
    <row r="37" spans="1:16" ht="15">
      <c r="A37" s="556"/>
      <c r="B37" s="3"/>
      <c r="C37" s="556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</row>
    <row r="38" spans="1:16" ht="15">
      <c r="A38" s="556"/>
      <c r="B38" s="3"/>
      <c r="C38" s="556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</row>
    <row r="39" spans="1:16" ht="15">
      <c r="A39" s="556"/>
      <c r="B39" s="3"/>
      <c r="C39" s="556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1:16" ht="15">
      <c r="A40" s="556"/>
      <c r="B40" s="3"/>
      <c r="C40" s="556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</sheetData>
  <sheetProtection/>
  <mergeCells count="14">
    <mergeCell ref="N7:P7"/>
    <mergeCell ref="A12:A15"/>
    <mergeCell ref="A26:F26"/>
    <mergeCell ref="A27:P27"/>
    <mergeCell ref="D1:I1"/>
    <mergeCell ref="C3:M3"/>
    <mergeCell ref="N5:O5"/>
    <mergeCell ref="A7:A8"/>
    <mergeCell ref="B7:B8"/>
    <mergeCell ref="C7:C8"/>
    <mergeCell ref="D7:D8"/>
    <mergeCell ref="E7:G7"/>
    <mergeCell ref="H7:J7"/>
    <mergeCell ref="K7:M7"/>
  </mergeCells>
  <printOptions horizontalCentered="1"/>
  <pageMargins left="0.61" right="0.14" top="0.73" bottom="0.3" header="0.56" footer="0.16"/>
  <pageSetup horizontalDpi="600" verticalDpi="600" orientation="landscape" scale="78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L26"/>
  <sheetViews>
    <sheetView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K21" sqref="K21"/>
    </sheetView>
  </sheetViews>
  <sheetFormatPr defaultColWidth="9.140625" defaultRowHeight="12.75"/>
  <cols>
    <col min="1" max="1" width="4.421875" style="540" customWidth="1"/>
    <col min="2" max="2" width="46.28125" style="1" customWidth="1"/>
    <col min="3" max="3" width="14.57421875" style="1" bestFit="1" customWidth="1"/>
    <col min="4" max="4" width="6.421875" style="1" customWidth="1"/>
    <col min="5" max="5" width="5.421875" style="1" customWidth="1"/>
    <col min="6" max="6" width="8.421875" style="1" bestFit="1" customWidth="1"/>
    <col min="7" max="7" width="8.57421875" style="1" bestFit="1" customWidth="1"/>
    <col min="8" max="9" width="8.57421875" style="1" customWidth="1"/>
    <col min="10" max="10" width="11.7109375" style="1" customWidth="1"/>
    <col min="11" max="11" width="19.00390625" style="1" customWidth="1"/>
    <col min="12" max="12" width="11.00390625" style="1" bestFit="1" customWidth="1"/>
    <col min="13" max="15" width="9.140625" style="1" customWidth="1"/>
    <col min="16" max="16" width="11.7109375" style="1" customWidth="1"/>
    <col min="17" max="16384" width="9.140625" style="1" customWidth="1"/>
  </cols>
  <sheetData>
    <row r="2" spans="1:10" ht="18" customHeight="1">
      <c r="A2" s="319"/>
      <c r="B2" s="1080" t="s">
        <v>1650</v>
      </c>
      <c r="C2" s="1080"/>
      <c r="D2" s="1080"/>
      <c r="E2" s="38"/>
      <c r="F2" s="320"/>
      <c r="G2" s="320"/>
      <c r="H2" s="320"/>
      <c r="I2" s="320"/>
      <c r="J2" s="320"/>
    </row>
    <row r="3" spans="1:10" ht="10.5" customHeight="1">
      <c r="A3" s="319"/>
      <c r="B3" s="80"/>
      <c r="C3" s="80"/>
      <c r="D3" s="80"/>
      <c r="E3" s="38"/>
      <c r="F3" s="320"/>
      <c r="G3" s="320"/>
      <c r="H3" s="320"/>
      <c r="I3" s="320"/>
      <c r="J3" s="320"/>
    </row>
    <row r="4" spans="1:10" ht="48.75" customHeight="1">
      <c r="A4" s="474"/>
      <c r="B4" s="1106" t="s">
        <v>1651</v>
      </c>
      <c r="C4" s="1106"/>
      <c r="D4" s="1106"/>
      <c r="E4" s="1106"/>
      <c r="F4" s="1106"/>
      <c r="G4" s="1106"/>
      <c r="H4" s="297"/>
      <c r="I4" s="297"/>
      <c r="J4" s="320"/>
    </row>
    <row r="5" spans="1:10" ht="13.5" customHeight="1">
      <c r="A5" s="474"/>
      <c r="B5" s="475"/>
      <c r="C5" s="475"/>
      <c r="D5" s="475"/>
      <c r="E5" s="475"/>
      <c r="F5" s="475"/>
      <c r="G5" s="475"/>
      <c r="H5" s="475"/>
      <c r="I5" s="475"/>
      <c r="J5" s="320"/>
    </row>
    <row r="6" spans="1:10" ht="15">
      <c r="A6" s="474"/>
      <c r="B6" s="1070" t="s">
        <v>1652</v>
      </c>
      <c r="C6" s="1070"/>
      <c r="D6" s="9"/>
      <c r="E6" s="9"/>
      <c r="F6" s="9"/>
      <c r="G6" s="520" t="s">
        <v>1823</v>
      </c>
      <c r="H6" s="557"/>
      <c r="I6" s="557"/>
      <c r="J6" s="320"/>
    </row>
    <row r="7" spans="1:10" ht="14.25">
      <c r="A7" s="474"/>
      <c r="B7" s="38"/>
      <c r="C7" s="38"/>
      <c r="D7" s="38"/>
      <c r="E7" s="38"/>
      <c r="F7" s="38"/>
      <c r="G7" s="38"/>
      <c r="H7" s="38"/>
      <c r="I7" s="38"/>
      <c r="J7" s="320"/>
    </row>
    <row r="8" spans="1:10" ht="30" customHeight="1">
      <c r="A8" s="1079" t="s">
        <v>1225</v>
      </c>
      <c r="B8" s="1079" t="s">
        <v>16</v>
      </c>
      <c r="C8" s="1079" t="s">
        <v>308</v>
      </c>
      <c r="D8" s="1079" t="s">
        <v>17</v>
      </c>
      <c r="E8" s="1079" t="s">
        <v>20</v>
      </c>
      <c r="F8" s="1079" t="s">
        <v>1653</v>
      </c>
      <c r="G8" s="1079"/>
      <c r="H8" s="1079" t="s">
        <v>1654</v>
      </c>
      <c r="I8" s="1079"/>
      <c r="J8" s="320"/>
    </row>
    <row r="9" spans="1:10" ht="15">
      <c r="A9" s="1079"/>
      <c r="B9" s="1079"/>
      <c r="C9" s="1079"/>
      <c r="D9" s="1079"/>
      <c r="E9" s="1079"/>
      <c r="F9" s="526" t="s">
        <v>309</v>
      </c>
      <c r="G9" s="526" t="s">
        <v>747</v>
      </c>
      <c r="H9" s="526" t="s">
        <v>309</v>
      </c>
      <c r="I9" s="526" t="s">
        <v>747</v>
      </c>
      <c r="J9" s="316"/>
    </row>
    <row r="10" spans="1:11" ht="15">
      <c r="A10" s="526">
        <v>1</v>
      </c>
      <c r="B10" s="526">
        <v>2</v>
      </c>
      <c r="C10" s="526">
        <v>3</v>
      </c>
      <c r="D10" s="526">
        <v>4</v>
      </c>
      <c r="E10" s="544">
        <v>5</v>
      </c>
      <c r="F10" s="526">
        <v>6</v>
      </c>
      <c r="G10" s="526">
        <v>7</v>
      </c>
      <c r="H10" s="526">
        <v>8</v>
      </c>
      <c r="I10" s="526">
        <v>9</v>
      </c>
      <c r="J10" s="419"/>
      <c r="K10" s="57"/>
    </row>
    <row r="11" spans="1:9" ht="28.5">
      <c r="A11" s="105">
        <v>1</v>
      </c>
      <c r="B11" s="274" t="s">
        <v>1655</v>
      </c>
      <c r="C11" s="554">
        <v>7131300500</v>
      </c>
      <c r="D11" s="554" t="s">
        <v>19</v>
      </c>
      <c r="E11" s="554">
        <v>1</v>
      </c>
      <c r="F11" s="275">
        <f>VLOOKUP(C11,'SOR RATE'!A:D,4,0)</f>
        <v>695.5</v>
      </c>
      <c r="G11" s="571">
        <f aca="true" t="shared" si="0" ref="G11:G19">F11*E11</f>
        <v>695.5</v>
      </c>
      <c r="H11" s="571">
        <f>+F11</f>
        <v>695.5</v>
      </c>
      <c r="I11" s="571">
        <f>E11*H11</f>
        <v>695.5</v>
      </c>
    </row>
    <row r="12" spans="1:11" ht="28.5">
      <c r="A12" s="105">
        <v>2</v>
      </c>
      <c r="B12" s="274" t="s">
        <v>1656</v>
      </c>
      <c r="C12" s="319">
        <v>7130311025</v>
      </c>
      <c r="D12" s="554" t="s">
        <v>980</v>
      </c>
      <c r="E12" s="554">
        <v>30</v>
      </c>
      <c r="F12" s="275">
        <f>VLOOKUP(C12,'SOR RATE'!A:D,4,0)</f>
        <v>39.05</v>
      </c>
      <c r="G12" s="571">
        <f t="shared" si="0"/>
        <v>1171.5</v>
      </c>
      <c r="H12" s="571"/>
      <c r="I12" s="571"/>
      <c r="J12" s="27"/>
      <c r="K12" s="27"/>
    </row>
    <row r="13" spans="1:10" ht="28.5">
      <c r="A13" s="105">
        <v>3</v>
      </c>
      <c r="B13" s="274" t="s">
        <v>1657</v>
      </c>
      <c r="C13" s="554">
        <v>7130310039</v>
      </c>
      <c r="D13" s="554" t="s">
        <v>980</v>
      </c>
      <c r="E13" s="554">
        <v>30</v>
      </c>
      <c r="F13" s="571"/>
      <c r="G13" s="571"/>
      <c r="H13" s="275">
        <f>VLOOKUP(C13,'SOR RATE'!A:D,4,0)</f>
        <v>29.08</v>
      </c>
      <c r="I13" s="571">
        <f>E13*H13</f>
        <v>872.4</v>
      </c>
      <c r="J13" s="29"/>
    </row>
    <row r="14" spans="1:12" ht="14.25">
      <c r="A14" s="105">
        <v>4</v>
      </c>
      <c r="B14" s="274" t="s">
        <v>1658</v>
      </c>
      <c r="C14" s="554">
        <v>7130820101</v>
      </c>
      <c r="D14" s="554" t="s">
        <v>19</v>
      </c>
      <c r="E14" s="554">
        <v>2</v>
      </c>
      <c r="F14" s="275">
        <f>VLOOKUP(C14,'SOR RATE'!A:D,4,0)</f>
        <v>11.31</v>
      </c>
      <c r="G14" s="571">
        <f t="shared" si="0"/>
        <v>22.62</v>
      </c>
      <c r="H14" s="571">
        <f aca="true" t="shared" si="1" ref="H14:H19">+F14</f>
        <v>11.31</v>
      </c>
      <c r="I14" s="571">
        <f aca="true" t="shared" si="2" ref="I14:I19">E14*H14</f>
        <v>22.62</v>
      </c>
      <c r="K14" s="58"/>
      <c r="L14" s="300"/>
    </row>
    <row r="15" spans="1:12" ht="14.25">
      <c r="A15" s="105">
        <v>5</v>
      </c>
      <c r="B15" s="274" t="s">
        <v>1659</v>
      </c>
      <c r="C15" s="554">
        <v>7130820206</v>
      </c>
      <c r="D15" s="554" t="s">
        <v>19</v>
      </c>
      <c r="E15" s="554">
        <v>2</v>
      </c>
      <c r="F15" s="275">
        <f>VLOOKUP(C15,'SOR RATE'!A:D,4,0)</f>
        <v>35.7</v>
      </c>
      <c r="G15" s="571">
        <f t="shared" si="0"/>
        <v>71.4</v>
      </c>
      <c r="H15" s="571">
        <f t="shared" si="1"/>
        <v>35.7</v>
      </c>
      <c r="I15" s="571">
        <f t="shared" si="2"/>
        <v>71.4</v>
      </c>
      <c r="K15" s="58"/>
      <c r="L15" s="300"/>
    </row>
    <row r="16" spans="1:12" ht="31.5" customHeight="1">
      <c r="A16" s="105">
        <v>6</v>
      </c>
      <c r="B16" s="274" t="s">
        <v>896</v>
      </c>
      <c r="C16" s="554">
        <v>7132406022</v>
      </c>
      <c r="D16" s="554" t="s">
        <v>19</v>
      </c>
      <c r="E16" s="554">
        <v>1</v>
      </c>
      <c r="F16" s="275">
        <f>VLOOKUP(C16,'SOR RATE'!A:D,4,0)</f>
        <v>147.22</v>
      </c>
      <c r="G16" s="571">
        <f t="shared" si="0"/>
        <v>147.22</v>
      </c>
      <c r="H16" s="571">
        <f t="shared" si="1"/>
        <v>147.22</v>
      </c>
      <c r="I16" s="571">
        <f t="shared" si="2"/>
        <v>147.22</v>
      </c>
      <c r="J16" s="320"/>
      <c r="K16" s="38"/>
      <c r="L16" s="38"/>
    </row>
    <row r="17" spans="1:10" ht="14.25">
      <c r="A17" s="105">
        <v>7</v>
      </c>
      <c r="B17" s="274" t="s">
        <v>1660</v>
      </c>
      <c r="C17" s="554">
        <v>7132476007</v>
      </c>
      <c r="D17" s="554" t="s">
        <v>897</v>
      </c>
      <c r="E17" s="554">
        <v>1</v>
      </c>
      <c r="F17" s="275">
        <f>VLOOKUP(C17,'SOR RATE'!A:D,4,0)</f>
        <v>14.29</v>
      </c>
      <c r="G17" s="571">
        <f t="shared" si="0"/>
        <v>14.29</v>
      </c>
      <c r="H17" s="571">
        <f t="shared" si="1"/>
        <v>14.29</v>
      </c>
      <c r="I17" s="571">
        <f t="shared" si="2"/>
        <v>14.29</v>
      </c>
      <c r="J17" s="320"/>
    </row>
    <row r="18" spans="1:10" ht="14.25">
      <c r="A18" s="105">
        <v>8</v>
      </c>
      <c r="B18" s="274" t="s">
        <v>1661</v>
      </c>
      <c r="C18" s="554"/>
      <c r="D18" s="554" t="s">
        <v>1662</v>
      </c>
      <c r="E18" s="554">
        <v>1</v>
      </c>
      <c r="F18" s="571">
        <v>40</v>
      </c>
      <c r="G18" s="571">
        <f t="shared" si="0"/>
        <v>40</v>
      </c>
      <c r="H18" s="571">
        <f t="shared" si="1"/>
        <v>40</v>
      </c>
      <c r="I18" s="571">
        <f t="shared" si="2"/>
        <v>40</v>
      </c>
      <c r="J18" s="320"/>
    </row>
    <row r="19" spans="1:10" ht="14.25">
      <c r="A19" s="105">
        <v>9</v>
      </c>
      <c r="B19" s="274" t="s">
        <v>1663</v>
      </c>
      <c r="C19" s="554"/>
      <c r="D19" s="554" t="s">
        <v>1662</v>
      </c>
      <c r="E19" s="554">
        <v>1</v>
      </c>
      <c r="F19" s="571">
        <v>30</v>
      </c>
      <c r="G19" s="571">
        <f t="shared" si="0"/>
        <v>30</v>
      </c>
      <c r="H19" s="571">
        <f t="shared" si="1"/>
        <v>30</v>
      </c>
      <c r="I19" s="571">
        <f t="shared" si="2"/>
        <v>30</v>
      </c>
      <c r="J19" s="320"/>
    </row>
    <row r="20" spans="1:11" ht="16.5" customHeight="1">
      <c r="A20" s="546">
        <v>10</v>
      </c>
      <c r="B20" s="277" t="s">
        <v>566</v>
      </c>
      <c r="C20" s="805"/>
      <c r="D20" s="805"/>
      <c r="E20" s="805"/>
      <c r="F20" s="806"/>
      <c r="G20" s="543">
        <f>SUM(G11:G19)</f>
        <v>2192.5299999999997</v>
      </c>
      <c r="H20" s="543"/>
      <c r="I20" s="543">
        <f>I11+I13+I14+I15+I16+I17+I18+I19</f>
        <v>1893.43</v>
      </c>
      <c r="J20" s="51"/>
      <c r="K20" s="50"/>
    </row>
    <row r="21" spans="1:11" ht="17.25" customHeight="1">
      <c r="A21" s="753">
        <v>11</v>
      </c>
      <c r="B21" s="61" t="s">
        <v>565</v>
      </c>
      <c r="C21" s="1014"/>
      <c r="D21" s="1014"/>
      <c r="E21" s="1014"/>
      <c r="F21" s="724" t="s">
        <v>1358</v>
      </c>
      <c r="G21" s="571">
        <f>G20*F21</f>
        <v>197.32769999999996</v>
      </c>
      <c r="H21" s="571">
        <v>0.09</v>
      </c>
      <c r="I21" s="571">
        <f>I20*H21</f>
        <v>170.4087</v>
      </c>
      <c r="J21" s="53"/>
      <c r="K21" s="51"/>
    </row>
    <row r="22" spans="1:10" ht="14.25">
      <c r="A22" s="105">
        <v>12</v>
      </c>
      <c r="B22" s="1089" t="s">
        <v>448</v>
      </c>
      <c r="C22" s="1091"/>
      <c r="D22" s="1089" t="s">
        <v>1664</v>
      </c>
      <c r="E22" s="1090"/>
      <c r="F22" s="1091"/>
      <c r="G22" s="571">
        <f>125*1.0891*1.086275*1.1112*1.0685*1.06217*1.059*1.2778</f>
        <v>252.36968742089078</v>
      </c>
      <c r="H22" s="571"/>
      <c r="I22" s="571">
        <f>+G22</f>
        <v>252.36968742089078</v>
      </c>
      <c r="J22" s="320"/>
    </row>
    <row r="23" spans="1:10" ht="15.75">
      <c r="A23" s="546">
        <v>13</v>
      </c>
      <c r="B23" s="1169" t="s">
        <v>1665</v>
      </c>
      <c r="C23" s="1169"/>
      <c r="D23" s="1169"/>
      <c r="E23" s="1169"/>
      <c r="F23" s="1169"/>
      <c r="G23" s="543">
        <f>G20+G21+G22</f>
        <v>2642.2273874208904</v>
      </c>
      <c r="H23" s="543"/>
      <c r="I23" s="543">
        <f>I20+I21+I22</f>
        <v>2316.208387420891</v>
      </c>
      <c r="J23" s="320"/>
    </row>
    <row r="24" spans="1:10" ht="15.75">
      <c r="A24" s="546">
        <v>14</v>
      </c>
      <c r="B24" s="1169" t="s">
        <v>1666</v>
      </c>
      <c r="C24" s="1169"/>
      <c r="D24" s="1169"/>
      <c r="E24" s="1169"/>
      <c r="F24" s="1169"/>
      <c r="G24" s="543">
        <f>ROUND(G23,0)</f>
        <v>2642</v>
      </c>
      <c r="H24" s="543"/>
      <c r="I24" s="543">
        <f>ROUND(I23,0)</f>
        <v>2316</v>
      </c>
      <c r="J24" s="320"/>
    </row>
    <row r="25" spans="1:10" ht="15.75">
      <c r="A25" s="266"/>
      <c r="B25" s="476"/>
      <c r="C25" s="476"/>
      <c r="D25" s="476"/>
      <c r="E25" s="476"/>
      <c r="F25" s="476"/>
      <c r="G25" s="336"/>
      <c r="H25" s="336"/>
      <c r="I25" s="336"/>
      <c r="J25" s="320"/>
    </row>
    <row r="26" spans="1:10" ht="15.75">
      <c r="A26" s="266"/>
      <c r="B26" s="476"/>
      <c r="C26" s="476"/>
      <c r="D26" s="476"/>
      <c r="E26" s="476"/>
      <c r="F26" s="476"/>
      <c r="G26" s="336"/>
      <c r="H26" s="336"/>
      <c r="I26" s="336"/>
      <c r="J26" s="320"/>
    </row>
  </sheetData>
  <sheetProtection/>
  <mergeCells count="14">
    <mergeCell ref="A8:A9"/>
    <mergeCell ref="B8:B9"/>
    <mergeCell ref="C8:C9"/>
    <mergeCell ref="D8:D9"/>
    <mergeCell ref="E8:E9"/>
    <mergeCell ref="F8:G8"/>
    <mergeCell ref="H8:I8"/>
    <mergeCell ref="B22:C22"/>
    <mergeCell ref="D22:F22"/>
    <mergeCell ref="B23:F23"/>
    <mergeCell ref="B24:F24"/>
    <mergeCell ref="B2:D2"/>
    <mergeCell ref="B4:G4"/>
    <mergeCell ref="B6:C6"/>
  </mergeCells>
  <printOptions/>
  <pageMargins left="0.98" right="0.37" top="0.49" bottom="0.9" header="0.49" footer="0.5"/>
  <pageSetup horizontalDpi="600" verticalDpi="600" orientation="landscape" scale="11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K23" sqref="K23"/>
    </sheetView>
  </sheetViews>
  <sheetFormatPr defaultColWidth="9.140625" defaultRowHeight="12.75"/>
  <cols>
    <col min="1" max="1" width="4.7109375" style="540" customWidth="1"/>
    <col min="2" max="2" width="57.00390625" style="1" customWidth="1"/>
    <col min="3" max="3" width="12.7109375" style="1" customWidth="1"/>
    <col min="4" max="4" width="5.140625" style="1" bestFit="1" customWidth="1"/>
    <col min="5" max="5" width="4.421875" style="1" bestFit="1" customWidth="1"/>
    <col min="6" max="6" width="9.7109375" style="1" customWidth="1"/>
    <col min="7" max="7" width="10.7109375" style="1" bestFit="1" customWidth="1"/>
    <col min="8" max="8" width="8.421875" style="1" bestFit="1" customWidth="1"/>
    <col min="9" max="9" width="10.7109375" style="1" bestFit="1" customWidth="1"/>
    <col min="10" max="10" width="11.28125" style="1" customWidth="1"/>
    <col min="11" max="16384" width="9.140625" style="1" customWidth="1"/>
  </cols>
  <sheetData>
    <row r="1" spans="1:10" ht="18">
      <c r="A1" s="477"/>
      <c r="B1" s="1080" t="s">
        <v>1667</v>
      </c>
      <c r="C1" s="1080"/>
      <c r="D1" s="1080"/>
      <c r="E1" s="9"/>
      <c r="F1" s="38"/>
      <c r="G1" s="38"/>
      <c r="H1" s="38"/>
      <c r="I1" s="38"/>
      <c r="J1" s="320"/>
    </row>
    <row r="2" spans="1:10" ht="10.5" customHeight="1">
      <c r="A2" s="477"/>
      <c r="B2" s="80"/>
      <c r="C2" s="80"/>
      <c r="D2" s="80"/>
      <c r="E2" s="9"/>
      <c r="F2" s="38"/>
      <c r="G2" s="38"/>
      <c r="H2" s="38"/>
      <c r="I2" s="38"/>
      <c r="J2" s="320"/>
    </row>
    <row r="3" spans="1:10" ht="48" customHeight="1">
      <c r="A3" s="477"/>
      <c r="B3" s="1106" t="s">
        <v>1651</v>
      </c>
      <c r="C3" s="1106"/>
      <c r="D3" s="1106"/>
      <c r="E3" s="1106"/>
      <c r="F3" s="1106"/>
      <c r="G3" s="1106"/>
      <c r="H3" s="297"/>
      <c r="I3" s="297"/>
      <c r="J3" s="320"/>
    </row>
    <row r="4" spans="1:10" ht="15">
      <c r="A4" s="474"/>
      <c r="B4" s="475"/>
      <c r="C4" s="475"/>
      <c r="D4" s="475"/>
      <c r="E4" s="475"/>
      <c r="F4" s="475"/>
      <c r="G4" s="475"/>
      <c r="H4" s="475"/>
      <c r="I4" s="475"/>
      <c r="J4" s="38"/>
    </row>
    <row r="5" spans="1:10" ht="15">
      <c r="A5" s="474"/>
      <c r="B5" s="1070" t="s">
        <v>1668</v>
      </c>
      <c r="C5" s="1070"/>
      <c r="D5" s="9"/>
      <c r="E5" s="9"/>
      <c r="F5" s="9"/>
      <c r="G5" s="520" t="s">
        <v>1823</v>
      </c>
      <c r="H5" s="557"/>
      <c r="I5" s="557"/>
      <c r="J5" s="38"/>
    </row>
    <row r="6" spans="1:10" ht="11.25" customHeight="1">
      <c r="A6" s="474"/>
      <c r="B6" s="557"/>
      <c r="C6" s="557"/>
      <c r="D6" s="9"/>
      <c r="E6" s="9"/>
      <c r="F6" s="9"/>
      <c r="G6" s="557"/>
      <c r="H6" s="557"/>
      <c r="I6" s="557"/>
      <c r="J6" s="38"/>
    </row>
    <row r="7" spans="1:10" ht="30.75" customHeight="1">
      <c r="A7" s="1079" t="s">
        <v>1225</v>
      </c>
      <c r="B7" s="1079" t="s">
        <v>16</v>
      </c>
      <c r="C7" s="1079" t="s">
        <v>308</v>
      </c>
      <c r="D7" s="1079" t="s">
        <v>17</v>
      </c>
      <c r="E7" s="1079" t="s">
        <v>20</v>
      </c>
      <c r="F7" s="1079" t="s">
        <v>1653</v>
      </c>
      <c r="G7" s="1079"/>
      <c r="H7" s="1079" t="s">
        <v>1654</v>
      </c>
      <c r="I7" s="1079"/>
      <c r="J7" s="320"/>
    </row>
    <row r="8" spans="1:10" ht="15">
      <c r="A8" s="1079"/>
      <c r="B8" s="1079"/>
      <c r="C8" s="1079"/>
      <c r="D8" s="1079"/>
      <c r="E8" s="1079"/>
      <c r="F8" s="526" t="s">
        <v>309</v>
      </c>
      <c r="G8" s="526" t="s">
        <v>747</v>
      </c>
      <c r="H8" s="526" t="s">
        <v>309</v>
      </c>
      <c r="I8" s="526" t="s">
        <v>747</v>
      </c>
      <c r="J8" s="320"/>
    </row>
    <row r="9" spans="1:11" ht="15">
      <c r="A9" s="526">
        <v>1</v>
      </c>
      <c r="B9" s="545">
        <v>2</v>
      </c>
      <c r="C9" s="526">
        <v>3</v>
      </c>
      <c r="D9" s="526">
        <v>4</v>
      </c>
      <c r="E9" s="526">
        <v>5</v>
      </c>
      <c r="F9" s="522">
        <v>6</v>
      </c>
      <c r="G9" s="522">
        <v>7</v>
      </c>
      <c r="H9" s="526">
        <v>8</v>
      </c>
      <c r="I9" s="526">
        <v>9</v>
      </c>
      <c r="J9" s="419"/>
      <c r="K9" s="57"/>
    </row>
    <row r="10" spans="1:10" ht="28.5">
      <c r="A10" s="105">
        <v>1</v>
      </c>
      <c r="B10" s="1015" t="s">
        <v>1669</v>
      </c>
      <c r="C10" s="554">
        <v>7131300046</v>
      </c>
      <c r="D10" s="554" t="s">
        <v>749</v>
      </c>
      <c r="E10" s="554">
        <v>1</v>
      </c>
      <c r="F10" s="275">
        <f>VLOOKUP(C10,'SOR RATE'!A:D,4,0)</f>
        <v>1621.45</v>
      </c>
      <c r="G10" s="751">
        <f>E10*F10</f>
        <v>1621.45</v>
      </c>
      <c r="H10" s="571">
        <f>+F10</f>
        <v>1621.45</v>
      </c>
      <c r="I10" s="571">
        <f>E10*H10</f>
        <v>1621.45</v>
      </c>
      <c r="J10" s="53"/>
    </row>
    <row r="11" spans="1:10" ht="17.25" customHeight="1">
      <c r="A11" s="554">
        <v>2</v>
      </c>
      <c r="B11" s="722" t="s">
        <v>1670</v>
      </c>
      <c r="C11" s="554">
        <v>7130311028</v>
      </c>
      <c r="D11" s="554" t="s">
        <v>980</v>
      </c>
      <c r="E11" s="554">
        <v>30</v>
      </c>
      <c r="F11" s="275">
        <f>VLOOKUP(C11,'SOR RATE'!A:D,4,0)</f>
        <v>68.07</v>
      </c>
      <c r="G11" s="571">
        <f aca="true" t="shared" si="0" ref="G11:G18">F11*E11</f>
        <v>2042.1</v>
      </c>
      <c r="H11" s="571"/>
      <c r="I11" s="571"/>
      <c r="J11" s="73"/>
    </row>
    <row r="12" spans="1:10" ht="18" customHeight="1">
      <c r="A12" s="554">
        <v>3</v>
      </c>
      <c r="B12" s="722" t="s">
        <v>1671</v>
      </c>
      <c r="C12" s="496">
        <v>7130310040</v>
      </c>
      <c r="D12" s="554" t="s">
        <v>980</v>
      </c>
      <c r="E12" s="554">
        <v>30</v>
      </c>
      <c r="F12" s="571"/>
      <c r="G12" s="571"/>
      <c r="H12" s="275">
        <f>VLOOKUP(C12,'SOR RATE'!A:D,4,0)</f>
        <v>60.26</v>
      </c>
      <c r="I12" s="571">
        <f aca="true" t="shared" si="1" ref="I12:I18">E12*H12</f>
        <v>1807.8</v>
      </c>
      <c r="J12" s="320"/>
    </row>
    <row r="13" spans="1:9" ht="14.25">
      <c r="A13" s="105">
        <v>4</v>
      </c>
      <c r="B13" s="274" t="s">
        <v>1658</v>
      </c>
      <c r="C13" s="554">
        <v>7130820101</v>
      </c>
      <c r="D13" s="554" t="s">
        <v>749</v>
      </c>
      <c r="E13" s="554">
        <v>2</v>
      </c>
      <c r="F13" s="275">
        <f>VLOOKUP(C13,'SOR RATE'!A:D,4,0)</f>
        <v>11.31</v>
      </c>
      <c r="G13" s="571">
        <f t="shared" si="0"/>
        <v>22.62</v>
      </c>
      <c r="H13" s="571">
        <f aca="true" t="shared" si="2" ref="H13:H18">+F13</f>
        <v>11.31</v>
      </c>
      <c r="I13" s="571">
        <f t="shared" si="1"/>
        <v>22.62</v>
      </c>
    </row>
    <row r="14" spans="1:9" ht="14.25">
      <c r="A14" s="105">
        <v>5</v>
      </c>
      <c r="B14" s="274" t="s">
        <v>1659</v>
      </c>
      <c r="C14" s="554">
        <v>7130820206</v>
      </c>
      <c r="D14" s="554" t="s">
        <v>749</v>
      </c>
      <c r="E14" s="554">
        <v>2</v>
      </c>
      <c r="F14" s="275">
        <f>VLOOKUP(C14,'SOR RATE'!A:D,4,0)</f>
        <v>35.7</v>
      </c>
      <c r="G14" s="571">
        <f t="shared" si="0"/>
        <v>71.4</v>
      </c>
      <c r="H14" s="571">
        <f t="shared" si="2"/>
        <v>35.7</v>
      </c>
      <c r="I14" s="571">
        <f t="shared" si="1"/>
        <v>71.4</v>
      </c>
    </row>
    <row r="15" spans="1:13" ht="45.75" customHeight="1">
      <c r="A15" s="105">
        <v>6</v>
      </c>
      <c r="B15" s="722" t="s">
        <v>833</v>
      </c>
      <c r="C15" s="554">
        <v>7132455002</v>
      </c>
      <c r="D15" s="554" t="s">
        <v>1373</v>
      </c>
      <c r="E15" s="554">
        <v>1</v>
      </c>
      <c r="F15" s="275">
        <f>VLOOKUP(C15,'SOR RATE'!A:D,4,0)</f>
        <v>307.92</v>
      </c>
      <c r="G15" s="571">
        <f t="shared" si="0"/>
        <v>307.92</v>
      </c>
      <c r="H15" s="571">
        <f t="shared" si="2"/>
        <v>307.92</v>
      </c>
      <c r="I15" s="571">
        <f t="shared" si="1"/>
        <v>307.92</v>
      </c>
      <c r="J15" s="320"/>
      <c r="K15" s="38"/>
      <c r="L15" s="38"/>
      <c r="M15" s="38"/>
    </row>
    <row r="16" spans="1:10" ht="15" customHeight="1">
      <c r="A16" s="105">
        <v>7</v>
      </c>
      <c r="B16" s="722" t="s">
        <v>1660</v>
      </c>
      <c r="C16" s="554">
        <v>7132476007</v>
      </c>
      <c r="D16" s="554" t="s">
        <v>897</v>
      </c>
      <c r="E16" s="554">
        <v>1</v>
      </c>
      <c r="F16" s="275">
        <f>VLOOKUP(C16,'SOR RATE'!A:D,4,0)</f>
        <v>14.29</v>
      </c>
      <c r="G16" s="571">
        <f t="shared" si="0"/>
        <v>14.29</v>
      </c>
      <c r="H16" s="571">
        <f t="shared" si="2"/>
        <v>14.29</v>
      </c>
      <c r="I16" s="571">
        <f t="shared" si="1"/>
        <v>14.29</v>
      </c>
      <c r="J16" s="320"/>
    </row>
    <row r="17" spans="1:10" ht="16.5" customHeight="1">
      <c r="A17" s="105">
        <v>8</v>
      </c>
      <c r="B17" s="722" t="s">
        <v>1672</v>
      </c>
      <c r="C17" s="554"/>
      <c r="D17" s="554" t="s">
        <v>1662</v>
      </c>
      <c r="E17" s="554">
        <v>1</v>
      </c>
      <c r="F17" s="571">
        <v>40</v>
      </c>
      <c r="G17" s="571">
        <f t="shared" si="0"/>
        <v>40</v>
      </c>
      <c r="H17" s="571">
        <f t="shared" si="2"/>
        <v>40</v>
      </c>
      <c r="I17" s="571">
        <f t="shared" si="1"/>
        <v>40</v>
      </c>
      <c r="J17" s="320"/>
    </row>
    <row r="18" spans="1:10" ht="15.75" customHeight="1">
      <c r="A18" s="105">
        <v>9</v>
      </c>
      <c r="B18" s="722" t="s">
        <v>1663</v>
      </c>
      <c r="C18" s="1016"/>
      <c r="D18" s="554" t="s">
        <v>1662</v>
      </c>
      <c r="E18" s="554">
        <v>1</v>
      </c>
      <c r="F18" s="571">
        <f>+'[1]E-2 page 158'!F19</f>
        <v>30</v>
      </c>
      <c r="G18" s="571">
        <f t="shared" si="0"/>
        <v>30</v>
      </c>
      <c r="H18" s="571">
        <f t="shared" si="2"/>
        <v>30</v>
      </c>
      <c r="I18" s="571">
        <f t="shared" si="1"/>
        <v>30</v>
      </c>
      <c r="J18" s="320"/>
    </row>
    <row r="19" spans="1:11" ht="18.75" customHeight="1">
      <c r="A19" s="526">
        <v>10</v>
      </c>
      <c r="B19" s="277" t="s">
        <v>566</v>
      </c>
      <c r="C19" s="805"/>
      <c r="D19" s="805"/>
      <c r="E19" s="805"/>
      <c r="F19" s="806"/>
      <c r="G19" s="1017">
        <f>SUM(G10:G18)</f>
        <v>4149.780000000001</v>
      </c>
      <c r="H19" s="543"/>
      <c r="I19" s="543">
        <f>I10+I12+I13+I14+I15+I16+I17+I18</f>
        <v>3915.48</v>
      </c>
      <c r="J19" s="51"/>
      <c r="K19" s="50"/>
    </row>
    <row r="20" spans="1:11" ht="15">
      <c r="A20" s="753">
        <v>11</v>
      </c>
      <c r="B20" s="61" t="s">
        <v>565</v>
      </c>
      <c r="C20" s="1014"/>
      <c r="D20" s="1014"/>
      <c r="E20" s="1014"/>
      <c r="F20" s="724" t="s">
        <v>1358</v>
      </c>
      <c r="G20" s="571">
        <f>G19*F20</f>
        <v>373.4802</v>
      </c>
      <c r="H20" s="571">
        <v>0.09</v>
      </c>
      <c r="I20" s="571">
        <f>I19*H20</f>
        <v>352.3932</v>
      </c>
      <c r="J20" s="53"/>
      <c r="K20" s="51"/>
    </row>
    <row r="21" spans="1:10" ht="14.25">
      <c r="A21" s="105">
        <v>12</v>
      </c>
      <c r="B21" s="1089" t="s">
        <v>448</v>
      </c>
      <c r="C21" s="1091"/>
      <c r="D21" s="1089" t="s">
        <v>1664</v>
      </c>
      <c r="E21" s="1090"/>
      <c r="F21" s="1091"/>
      <c r="G21" s="571">
        <f>200*1.0891*1.086275*1.1112*1.0685*1.06217*1.059*1.2778</f>
        <v>403.7914998734252</v>
      </c>
      <c r="H21" s="571"/>
      <c r="I21" s="571">
        <f>+G21</f>
        <v>403.7914998734252</v>
      </c>
      <c r="J21" s="320"/>
    </row>
    <row r="22" spans="1:10" ht="15.75">
      <c r="A22" s="546">
        <v>13</v>
      </c>
      <c r="B22" s="1064" t="s">
        <v>1673</v>
      </c>
      <c r="C22" s="1170"/>
      <c r="D22" s="1170"/>
      <c r="E22" s="1170"/>
      <c r="F22" s="1065"/>
      <c r="G22" s="543">
        <f>G19+G20+G21</f>
        <v>4927.051699873426</v>
      </c>
      <c r="H22" s="543"/>
      <c r="I22" s="543">
        <f>I19+I20+I21</f>
        <v>4671.664699873425</v>
      </c>
      <c r="J22" s="320"/>
    </row>
    <row r="23" spans="1:10" ht="15.75">
      <c r="A23" s="546">
        <v>14</v>
      </c>
      <c r="B23" s="1064" t="s">
        <v>1674</v>
      </c>
      <c r="C23" s="1170"/>
      <c r="D23" s="1170"/>
      <c r="E23" s="1170"/>
      <c r="F23" s="1065"/>
      <c r="G23" s="1018">
        <f>ROUND(G22,0)</f>
        <v>4927</v>
      </c>
      <c r="H23" s="1018"/>
      <c r="I23" s="1018">
        <f>ROUND(I22,0)</f>
        <v>4672</v>
      </c>
      <c r="J23" s="320"/>
    </row>
    <row r="24" spans="1:10" ht="15">
      <c r="A24" s="477"/>
      <c r="B24" s="701" t="s">
        <v>1675</v>
      </c>
      <c r="C24" s="701"/>
      <c r="D24" s="576"/>
      <c r="E24" s="573">
        <v>100</v>
      </c>
      <c r="F24" s="1019"/>
      <c r="G24" s="1019"/>
      <c r="H24" s="1019"/>
      <c r="I24" s="1019"/>
      <c r="J24" s="320"/>
    </row>
    <row r="25" spans="1:10" ht="15.75">
      <c r="A25" s="477"/>
      <c r="B25" s="709" t="s">
        <v>1676</v>
      </c>
      <c r="C25" s="709"/>
      <c r="D25" s="642"/>
      <c r="E25" s="1019"/>
      <c r="F25" s="1019"/>
      <c r="G25" s="543">
        <f>E24*G22</f>
        <v>492705.16998734255</v>
      </c>
      <c r="H25" s="543"/>
      <c r="I25" s="543">
        <f>E24*I22</f>
        <v>467166.4699873425</v>
      </c>
      <c r="J25" s="320"/>
    </row>
    <row r="26" spans="1:10" ht="15.75">
      <c r="A26" s="477"/>
      <c r="B26" s="709" t="s">
        <v>1677</v>
      </c>
      <c r="C26" s="709"/>
      <c r="D26" s="642"/>
      <c r="E26" s="1019"/>
      <c r="F26" s="1019"/>
      <c r="G26" s="543">
        <f>ROUND(G25,0)</f>
        <v>492705</v>
      </c>
      <c r="H26" s="543"/>
      <c r="I26" s="543">
        <f>ROUND(I25,0)</f>
        <v>467166</v>
      </c>
      <c r="J26" s="320"/>
    </row>
    <row r="27" spans="1:10" ht="15.75">
      <c r="A27" s="477"/>
      <c r="B27" s="478"/>
      <c r="C27" s="478"/>
      <c r="D27" s="336"/>
      <c r="E27" s="479"/>
      <c r="F27" s="479"/>
      <c r="G27" s="479"/>
      <c r="H27" s="479"/>
      <c r="I27" s="479"/>
      <c r="J27" s="320"/>
    </row>
  </sheetData>
  <sheetProtection/>
  <mergeCells count="14">
    <mergeCell ref="A7:A8"/>
    <mergeCell ref="B7:B8"/>
    <mergeCell ref="C7:C8"/>
    <mergeCell ref="D7:D8"/>
    <mergeCell ref="E7:E8"/>
    <mergeCell ref="F7:G7"/>
    <mergeCell ref="H7:I7"/>
    <mergeCell ref="B21:C21"/>
    <mergeCell ref="D21:F21"/>
    <mergeCell ref="B22:F22"/>
    <mergeCell ref="B23:F23"/>
    <mergeCell ref="B1:D1"/>
    <mergeCell ref="B3:G3"/>
    <mergeCell ref="B5:C5"/>
  </mergeCells>
  <conditionalFormatting sqref="D24 D27 G25:I26">
    <cfRule type="cellIs" priority="1" dxfId="0" operator="equal" stopIfTrue="1">
      <formula>"?"</formula>
    </cfRule>
  </conditionalFormatting>
  <printOptions/>
  <pageMargins left="0.87" right="0.17" top="0.85" bottom="0.38" header="0.66" footer="0.22"/>
  <pageSetup horizontalDpi="600" verticalDpi="600" orientation="landscape" scale="102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I19"/>
  <sheetViews>
    <sheetView zoomScalePageLayoutView="0" workbookViewId="0" topLeftCell="A1">
      <pane xSplit="2" ySplit="8" topLeftCell="C9" activePane="bottomRight" state="frozen"/>
      <selection pane="topLeft" activeCell="C10" sqref="C10"/>
      <selection pane="topRight" activeCell="C10" sqref="C10"/>
      <selection pane="bottomLeft" activeCell="C10" sqref="C10"/>
      <selection pane="bottomRight" activeCell="J14" sqref="J14"/>
    </sheetView>
  </sheetViews>
  <sheetFormatPr defaultColWidth="9.140625" defaultRowHeight="12.75"/>
  <cols>
    <col min="1" max="1" width="4.7109375" style="540" customWidth="1"/>
    <col min="2" max="2" width="46.28125" style="1" customWidth="1"/>
    <col min="3" max="3" width="14.57421875" style="1" bestFit="1" customWidth="1"/>
    <col min="4" max="4" width="10.140625" style="1" customWidth="1"/>
    <col min="5" max="5" width="8.140625" style="1" customWidth="1"/>
    <col min="6" max="6" width="9.57421875" style="1" bestFit="1" customWidth="1"/>
    <col min="7" max="7" width="13.7109375" style="1" customWidth="1"/>
    <col min="8" max="8" width="10.57421875" style="1" customWidth="1"/>
    <col min="9" max="16384" width="9.140625" style="1" customWidth="1"/>
  </cols>
  <sheetData>
    <row r="2" spans="1:8" ht="18">
      <c r="A2" s="477"/>
      <c r="B2" s="1080" t="s">
        <v>1678</v>
      </c>
      <c r="C2" s="1080"/>
      <c r="D2" s="1080"/>
      <c r="E2" s="479"/>
      <c r="F2" s="479"/>
      <c r="G2" s="479"/>
      <c r="H2" s="320"/>
    </row>
    <row r="3" spans="1:8" ht="8.25" customHeight="1">
      <c r="A3" s="477"/>
      <c r="B3" s="479"/>
      <c r="C3" s="479"/>
      <c r="D3" s="1171"/>
      <c r="E3" s="1171"/>
      <c r="F3" s="479"/>
      <c r="G3" s="479"/>
      <c r="H3" s="320"/>
    </row>
    <row r="4" spans="1:8" ht="50.25" customHeight="1">
      <c r="A4" s="477"/>
      <c r="B4" s="1106" t="s">
        <v>1651</v>
      </c>
      <c r="C4" s="1106"/>
      <c r="D4" s="1106"/>
      <c r="E4" s="1106"/>
      <c r="F4" s="1106"/>
      <c r="G4" s="1106"/>
      <c r="H4" s="320"/>
    </row>
    <row r="5" spans="1:8" ht="15">
      <c r="A5" s="477"/>
      <c r="B5" s="475"/>
      <c r="C5" s="475"/>
      <c r="D5" s="475"/>
      <c r="E5" s="475"/>
      <c r="F5" s="475"/>
      <c r="G5" s="475"/>
      <c r="H5" s="320"/>
    </row>
    <row r="6" spans="1:8" ht="18.75" customHeight="1">
      <c r="A6" s="477"/>
      <c r="B6" s="1070" t="s">
        <v>1679</v>
      </c>
      <c r="C6" s="1070"/>
      <c r="D6" s="1070"/>
      <c r="E6" s="9"/>
      <c r="F6" s="9"/>
      <c r="G6" s="520" t="s">
        <v>1823</v>
      </c>
      <c r="H6" s="320"/>
    </row>
    <row r="7" spans="1:8" ht="14.25">
      <c r="A7" s="477"/>
      <c r="B7" s="320"/>
      <c r="C7" s="320"/>
      <c r="D7" s="320"/>
      <c r="E7" s="320"/>
      <c r="F7" s="320"/>
      <c r="G7" s="320"/>
      <c r="H7" s="320"/>
    </row>
    <row r="8" spans="1:8" ht="30">
      <c r="A8" s="526" t="s">
        <v>1225</v>
      </c>
      <c r="B8" s="526" t="s">
        <v>16</v>
      </c>
      <c r="C8" s="526" t="s">
        <v>308</v>
      </c>
      <c r="D8" s="526" t="s">
        <v>17</v>
      </c>
      <c r="E8" s="526" t="s">
        <v>20</v>
      </c>
      <c r="F8" s="526" t="s">
        <v>309</v>
      </c>
      <c r="G8" s="526" t="s">
        <v>747</v>
      </c>
      <c r="H8" s="320"/>
    </row>
    <row r="9" spans="1:8" ht="32.25" customHeight="1">
      <c r="A9" s="105">
        <v>1</v>
      </c>
      <c r="B9" s="1020" t="s">
        <v>1680</v>
      </c>
      <c r="C9" s="1021">
        <v>7131310997</v>
      </c>
      <c r="D9" s="554" t="s">
        <v>749</v>
      </c>
      <c r="E9" s="554">
        <v>1</v>
      </c>
      <c r="F9" s="275">
        <f>VLOOKUP(C9,'SOR RATE'!A:D,4,0)</f>
        <v>1639.61</v>
      </c>
      <c r="G9" s="571">
        <f>F9*E9</f>
        <v>1639.61</v>
      </c>
      <c r="H9" s="53"/>
    </row>
    <row r="10" spans="1:8" ht="17.25" customHeight="1">
      <c r="A10" s="105">
        <v>2</v>
      </c>
      <c r="B10" s="274" t="s">
        <v>1660</v>
      </c>
      <c r="C10" s="496">
        <v>7132476007</v>
      </c>
      <c r="D10" s="554" t="s">
        <v>897</v>
      </c>
      <c r="E10" s="554">
        <v>1</v>
      </c>
      <c r="F10" s="275">
        <f>VLOOKUP(C10,'SOR RATE'!A:D,4,0)</f>
        <v>14.29</v>
      </c>
      <c r="G10" s="571">
        <f>F10*E10</f>
        <v>14.29</v>
      </c>
      <c r="H10" s="320"/>
    </row>
    <row r="11" spans="1:8" ht="17.25" customHeight="1">
      <c r="A11" s="105">
        <v>3</v>
      </c>
      <c r="B11" s="274" t="s">
        <v>1672</v>
      </c>
      <c r="C11" s="554"/>
      <c r="D11" s="554" t="s">
        <v>1662</v>
      </c>
      <c r="E11" s="554">
        <v>1</v>
      </c>
      <c r="F11" s="571">
        <v>40</v>
      </c>
      <c r="G11" s="571">
        <f>F11*E11</f>
        <v>40</v>
      </c>
      <c r="H11" s="320"/>
    </row>
    <row r="12" spans="1:8" ht="17.25" customHeight="1">
      <c r="A12" s="105">
        <v>4</v>
      </c>
      <c r="B12" s="274" t="s">
        <v>1663</v>
      </c>
      <c r="C12" s="554"/>
      <c r="D12" s="554" t="s">
        <v>1662</v>
      </c>
      <c r="E12" s="554">
        <v>1</v>
      </c>
      <c r="F12" s="571">
        <f>'E-2'!F19</f>
        <v>30</v>
      </c>
      <c r="G12" s="571">
        <f>F12*E12</f>
        <v>30</v>
      </c>
      <c r="H12" s="320"/>
    </row>
    <row r="13" spans="1:9" ht="15">
      <c r="A13" s="526">
        <v>5</v>
      </c>
      <c r="B13" s="277" t="s">
        <v>566</v>
      </c>
      <c r="C13" s="805"/>
      <c r="D13" s="805"/>
      <c r="E13" s="805"/>
      <c r="F13" s="806"/>
      <c r="G13" s="1017">
        <f>SUM(G9:G12)</f>
        <v>1723.8999999999999</v>
      </c>
      <c r="H13" s="53"/>
      <c r="I13" s="50"/>
    </row>
    <row r="14" spans="1:9" ht="18" customHeight="1">
      <c r="A14" s="753">
        <v>6</v>
      </c>
      <c r="B14" s="61" t="s">
        <v>565</v>
      </c>
      <c r="C14" s="1014"/>
      <c r="D14" s="1014"/>
      <c r="E14" s="1014"/>
      <c r="F14" s="724" t="s">
        <v>1358</v>
      </c>
      <c r="G14" s="1022">
        <f>G13*F14</f>
        <v>155.15099999999998</v>
      </c>
      <c r="H14" s="53"/>
      <c r="I14" s="51"/>
    </row>
    <row r="15" spans="1:8" ht="16.5" customHeight="1">
      <c r="A15" s="105">
        <v>7</v>
      </c>
      <c r="B15" s="1089" t="s">
        <v>448</v>
      </c>
      <c r="C15" s="1091"/>
      <c r="D15" s="1089" t="s">
        <v>1664</v>
      </c>
      <c r="E15" s="1090"/>
      <c r="F15" s="1091"/>
      <c r="G15" s="571">
        <f>200*1.0891*1.086275*1.1112*1.0685*1.06217*1.059*1.2778</f>
        <v>403.7914998734252</v>
      </c>
      <c r="H15" s="320"/>
    </row>
    <row r="16" spans="1:8" ht="19.5" customHeight="1">
      <c r="A16" s="546">
        <v>8</v>
      </c>
      <c r="B16" s="1169" t="s">
        <v>1681</v>
      </c>
      <c r="C16" s="1169"/>
      <c r="D16" s="1169"/>
      <c r="E16" s="1169"/>
      <c r="F16" s="1169"/>
      <c r="G16" s="543">
        <f>G13+G14+G15</f>
        <v>2282.8424998734254</v>
      </c>
      <c r="H16" s="320"/>
    </row>
    <row r="17" spans="1:8" ht="34.5" customHeight="1">
      <c r="A17" s="526">
        <v>9</v>
      </c>
      <c r="B17" s="1169" t="s">
        <v>1682</v>
      </c>
      <c r="C17" s="1169"/>
      <c r="D17" s="1169"/>
      <c r="E17" s="1169"/>
      <c r="F17" s="1169"/>
      <c r="G17" s="543">
        <f>ROUND(G16,0)</f>
        <v>2283</v>
      </c>
      <c r="H17" s="320"/>
    </row>
    <row r="18" spans="1:8" ht="12.75">
      <c r="A18" s="82"/>
      <c r="B18" s="12"/>
      <c r="C18" s="12"/>
      <c r="D18" s="12"/>
      <c r="E18" s="12"/>
      <c r="F18" s="12"/>
      <c r="G18" s="12"/>
      <c r="H18" s="12"/>
    </row>
    <row r="19" spans="1:8" ht="12.75">
      <c r="A19" s="82"/>
      <c r="B19" s="12"/>
      <c r="C19" s="12"/>
      <c r="D19" s="12"/>
      <c r="E19" s="12"/>
      <c r="F19" s="12"/>
      <c r="G19" s="12"/>
      <c r="H19" s="12"/>
    </row>
  </sheetData>
  <sheetProtection/>
  <mergeCells count="8">
    <mergeCell ref="B16:F16"/>
    <mergeCell ref="B17:F17"/>
    <mergeCell ref="B2:D2"/>
    <mergeCell ref="D3:E3"/>
    <mergeCell ref="B4:G4"/>
    <mergeCell ref="B6:D6"/>
    <mergeCell ref="B15:C15"/>
    <mergeCell ref="D15:F15"/>
  </mergeCells>
  <printOptions/>
  <pageMargins left="1" right="0.15" top="1" bottom="1" header="0.5" footer="0.5"/>
  <pageSetup horizontalDpi="600" verticalDpi="600" orientation="landscape" scale="115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K11" sqref="K11"/>
    </sheetView>
  </sheetViews>
  <sheetFormatPr defaultColWidth="9.140625" defaultRowHeight="12.75"/>
  <cols>
    <col min="1" max="1" width="7.140625" style="540" customWidth="1"/>
    <col min="2" max="2" width="43.00390625" style="1" customWidth="1"/>
    <col min="3" max="3" width="14.00390625" style="1" customWidth="1"/>
    <col min="4" max="4" width="5.140625" style="1" bestFit="1" customWidth="1"/>
    <col min="5" max="5" width="5.00390625" style="1" bestFit="1" customWidth="1"/>
    <col min="6" max="6" width="8.57421875" style="1" bestFit="1" customWidth="1"/>
    <col min="7" max="9" width="10.8515625" style="1" customWidth="1"/>
    <col min="10" max="10" width="11.140625" style="1" customWidth="1"/>
    <col min="11" max="16384" width="9.140625" style="1" customWidth="1"/>
  </cols>
  <sheetData>
    <row r="1" spans="1:10" ht="24.75" customHeight="1">
      <c r="A1" s="480"/>
      <c r="B1" s="1177" t="s">
        <v>1683</v>
      </c>
      <c r="C1" s="1177"/>
      <c r="D1" s="1177"/>
      <c r="E1" s="1177"/>
      <c r="F1" s="481"/>
      <c r="G1" s="481"/>
      <c r="H1" s="481"/>
      <c r="I1" s="481"/>
      <c r="J1" s="272"/>
    </row>
    <row r="2" spans="1:10" ht="9.75" customHeight="1">
      <c r="A2" s="480"/>
      <c r="B2" s="482"/>
      <c r="C2" s="482"/>
      <c r="D2" s="482"/>
      <c r="E2" s="482"/>
      <c r="F2" s="481"/>
      <c r="G2" s="481"/>
      <c r="H2" s="481"/>
      <c r="I2" s="481"/>
      <c r="J2" s="272"/>
    </row>
    <row r="3" spans="1:10" ht="35.25">
      <c r="A3" s="480"/>
      <c r="B3" s="1068" t="s">
        <v>1684</v>
      </c>
      <c r="C3" s="1068"/>
      <c r="D3" s="1068"/>
      <c r="E3" s="1068"/>
      <c r="F3" s="1068"/>
      <c r="G3" s="1068"/>
      <c r="H3" s="557"/>
      <c r="I3" s="557"/>
      <c r="J3" s="481"/>
    </row>
    <row r="4" spans="1:10" ht="16.5" customHeight="1">
      <c r="A4" s="480"/>
      <c r="B4" s="557"/>
      <c r="C4" s="557"/>
      <c r="D4" s="557"/>
      <c r="E4" s="557"/>
      <c r="F4" s="557"/>
      <c r="G4" s="557"/>
      <c r="H4" s="557"/>
      <c r="I4" s="557"/>
      <c r="J4" s="481"/>
    </row>
    <row r="5" spans="1:10" ht="18" customHeight="1">
      <c r="A5" s="480"/>
      <c r="B5" s="1070" t="s">
        <v>1652</v>
      </c>
      <c r="C5" s="1070"/>
      <c r="D5" s="1070"/>
      <c r="E5" s="9"/>
      <c r="G5" s="9"/>
      <c r="H5" s="520" t="s">
        <v>1823</v>
      </c>
      <c r="I5" s="9"/>
      <c r="J5" s="9"/>
    </row>
    <row r="6" spans="1:10" ht="18" customHeight="1">
      <c r="A6" s="480"/>
      <c r="B6" s="557"/>
      <c r="C6" s="557"/>
      <c r="D6" s="557"/>
      <c r="E6" s="9"/>
      <c r="F6" s="557"/>
      <c r="G6" s="9"/>
      <c r="H6" s="9"/>
      <c r="I6" s="9"/>
      <c r="J6" s="9"/>
    </row>
    <row r="7" spans="1:14" ht="30" customHeight="1">
      <c r="A7" s="1079" t="s">
        <v>1225</v>
      </c>
      <c r="B7" s="1079" t="s">
        <v>16</v>
      </c>
      <c r="C7" s="1079" t="s">
        <v>308</v>
      </c>
      <c r="D7" s="1079" t="s">
        <v>17</v>
      </c>
      <c r="E7" s="1079" t="s">
        <v>580</v>
      </c>
      <c r="F7" s="1079" t="s">
        <v>1653</v>
      </c>
      <c r="G7" s="1079"/>
      <c r="H7" s="1079" t="s">
        <v>1654</v>
      </c>
      <c r="I7" s="1079"/>
      <c r="J7" s="481"/>
      <c r="L7" s="557"/>
      <c r="M7" s="557"/>
      <c r="N7" s="33"/>
    </row>
    <row r="8" spans="1:10" ht="15">
      <c r="A8" s="1079"/>
      <c r="B8" s="1079"/>
      <c r="C8" s="1079"/>
      <c r="D8" s="1079"/>
      <c r="E8" s="1079"/>
      <c r="F8" s="526" t="s">
        <v>309</v>
      </c>
      <c r="G8" s="526" t="s">
        <v>747</v>
      </c>
      <c r="H8" s="526" t="s">
        <v>309</v>
      </c>
      <c r="I8" s="526" t="s">
        <v>747</v>
      </c>
      <c r="J8" s="481"/>
    </row>
    <row r="9" spans="1:11" ht="15">
      <c r="A9" s="526">
        <v>1</v>
      </c>
      <c r="B9" s="521">
        <v>2</v>
      </c>
      <c r="C9" s="526">
        <v>3</v>
      </c>
      <c r="D9" s="521">
        <v>4</v>
      </c>
      <c r="E9" s="521">
        <v>5</v>
      </c>
      <c r="F9" s="521">
        <v>6</v>
      </c>
      <c r="G9" s="526">
        <v>7</v>
      </c>
      <c r="H9" s="526">
        <v>8</v>
      </c>
      <c r="I9" s="526">
        <v>9</v>
      </c>
      <c r="J9" s="419"/>
      <c r="K9" s="57"/>
    </row>
    <row r="10" spans="1:12" ht="34.5" customHeight="1">
      <c r="A10" s="1023">
        <v>1</v>
      </c>
      <c r="B10" s="756" t="s">
        <v>1685</v>
      </c>
      <c r="C10" s="319">
        <v>7130311025</v>
      </c>
      <c r="D10" s="723" t="s">
        <v>980</v>
      </c>
      <c r="E10" s="723">
        <v>30</v>
      </c>
      <c r="F10" s="275">
        <f>VLOOKUP(C10,'SOR RATE'!A:D,4,0)</f>
        <v>39.05</v>
      </c>
      <c r="G10" s="275">
        <f>F10*E10</f>
        <v>1171.5</v>
      </c>
      <c r="H10" s="275"/>
      <c r="I10" s="275"/>
      <c r="J10" s="27"/>
      <c r="K10" s="27"/>
      <c r="L10" s="27"/>
    </row>
    <row r="11" spans="1:10" ht="32.25" customHeight="1">
      <c r="A11" s="1023">
        <v>2</v>
      </c>
      <c r="B11" s="274" t="s">
        <v>1657</v>
      </c>
      <c r="C11" s="554">
        <v>7130310039</v>
      </c>
      <c r="D11" s="723" t="s">
        <v>980</v>
      </c>
      <c r="E11" s="723">
        <v>30</v>
      </c>
      <c r="F11" s="275"/>
      <c r="G11" s="275"/>
      <c r="H11" s="275">
        <f>VLOOKUP(C11,'SOR RATE'!A:D,4,0)</f>
        <v>29.08</v>
      </c>
      <c r="I11" s="275">
        <f aca="true" t="shared" si="0" ref="I11:I17">E11*H11</f>
        <v>872.4</v>
      </c>
      <c r="J11" s="481"/>
    </row>
    <row r="12" spans="1:9" ht="15.75" customHeight="1">
      <c r="A12" s="1023">
        <v>3</v>
      </c>
      <c r="B12" s="274" t="s">
        <v>1658</v>
      </c>
      <c r="C12" s="554">
        <v>7130820101</v>
      </c>
      <c r="D12" s="496" t="s">
        <v>749</v>
      </c>
      <c r="E12" s="496">
        <v>2</v>
      </c>
      <c r="F12" s="275">
        <f>VLOOKUP(C12,'SOR RATE'!A:D,4,0)</f>
        <v>11.31</v>
      </c>
      <c r="G12" s="275">
        <f aca="true" t="shared" si="1" ref="G12:G17">F12*E12</f>
        <v>22.62</v>
      </c>
      <c r="H12" s="275">
        <f aca="true" t="shared" si="2" ref="H12:H17">+F12</f>
        <v>11.31</v>
      </c>
      <c r="I12" s="275">
        <f t="shared" si="0"/>
        <v>22.62</v>
      </c>
    </row>
    <row r="13" spans="1:9" ht="18.75" customHeight="1">
      <c r="A13" s="1023">
        <v>4</v>
      </c>
      <c r="B13" s="274" t="s">
        <v>1659</v>
      </c>
      <c r="C13" s="554">
        <v>7130820206</v>
      </c>
      <c r="D13" s="496" t="s">
        <v>749</v>
      </c>
      <c r="E13" s="496">
        <v>2</v>
      </c>
      <c r="F13" s="275">
        <f>VLOOKUP(C13,'SOR RATE'!A:D,4,0)</f>
        <v>35.7</v>
      </c>
      <c r="G13" s="275">
        <f t="shared" si="1"/>
        <v>71.4</v>
      </c>
      <c r="H13" s="275">
        <f t="shared" si="2"/>
        <v>35.7</v>
      </c>
      <c r="I13" s="275">
        <f t="shared" si="0"/>
        <v>71.4</v>
      </c>
    </row>
    <row r="14" spans="1:13" ht="33.75" customHeight="1">
      <c r="A14" s="1023">
        <v>5</v>
      </c>
      <c r="B14" s="274" t="s">
        <v>896</v>
      </c>
      <c r="C14" s="554">
        <v>7132406022</v>
      </c>
      <c r="D14" s="761" t="s">
        <v>1373</v>
      </c>
      <c r="E14" s="761">
        <v>1</v>
      </c>
      <c r="F14" s="275">
        <f>VLOOKUP(C14,'SOR RATE'!A:D,4,0)</f>
        <v>147.22</v>
      </c>
      <c r="G14" s="762">
        <f t="shared" si="1"/>
        <v>147.22</v>
      </c>
      <c r="H14" s="275">
        <f t="shared" si="2"/>
        <v>147.22</v>
      </c>
      <c r="I14" s="275">
        <f t="shared" si="0"/>
        <v>147.22</v>
      </c>
      <c r="J14" s="481"/>
      <c r="K14" s="38"/>
      <c r="L14" s="38"/>
      <c r="M14" s="38"/>
    </row>
    <row r="15" spans="1:10" ht="18" customHeight="1">
      <c r="A15" s="1023">
        <v>6</v>
      </c>
      <c r="B15" s="274" t="s">
        <v>1660</v>
      </c>
      <c r="C15" s="496">
        <v>7132476007</v>
      </c>
      <c r="D15" s="554" t="s">
        <v>897</v>
      </c>
      <c r="E15" s="496">
        <v>1</v>
      </c>
      <c r="F15" s="275">
        <f>VLOOKUP(C15,'SOR RATE'!A:D,4,0)</f>
        <v>14.29</v>
      </c>
      <c r="G15" s="275">
        <f t="shared" si="1"/>
        <v>14.29</v>
      </c>
      <c r="H15" s="275">
        <f t="shared" si="2"/>
        <v>14.29</v>
      </c>
      <c r="I15" s="275">
        <f t="shared" si="0"/>
        <v>14.29</v>
      </c>
      <c r="J15" s="481"/>
    </row>
    <row r="16" spans="1:10" ht="18" customHeight="1">
      <c r="A16" s="1023">
        <v>7</v>
      </c>
      <c r="B16" s="274" t="s">
        <v>1661</v>
      </c>
      <c r="C16" s="554"/>
      <c r="D16" s="496" t="s">
        <v>1662</v>
      </c>
      <c r="E16" s="496">
        <v>1</v>
      </c>
      <c r="F16" s="275">
        <v>40</v>
      </c>
      <c r="G16" s="275">
        <f t="shared" si="1"/>
        <v>40</v>
      </c>
      <c r="H16" s="275">
        <f t="shared" si="2"/>
        <v>40</v>
      </c>
      <c r="I16" s="275">
        <f t="shared" si="0"/>
        <v>40</v>
      </c>
      <c r="J16" s="481"/>
    </row>
    <row r="17" spans="1:10" ht="15" customHeight="1">
      <c r="A17" s="1023">
        <v>8</v>
      </c>
      <c r="B17" s="502" t="s">
        <v>1663</v>
      </c>
      <c r="C17" s="496"/>
      <c r="D17" s="496" t="s">
        <v>1662</v>
      </c>
      <c r="E17" s="496">
        <v>1</v>
      </c>
      <c r="F17" s="275">
        <f>'E-2'!F19</f>
        <v>30</v>
      </c>
      <c r="G17" s="275">
        <f t="shared" si="1"/>
        <v>30</v>
      </c>
      <c r="H17" s="275">
        <f t="shared" si="2"/>
        <v>30</v>
      </c>
      <c r="I17" s="275">
        <f t="shared" si="0"/>
        <v>30</v>
      </c>
      <c r="J17" s="481"/>
    </row>
    <row r="18" spans="1:11" ht="16.5" customHeight="1">
      <c r="A18" s="1024">
        <v>9</v>
      </c>
      <c r="B18" s="277" t="s">
        <v>566</v>
      </c>
      <c r="C18" s="1025"/>
      <c r="D18" s="1025"/>
      <c r="E18" s="1025"/>
      <c r="F18" s="1026"/>
      <c r="G18" s="278">
        <f>SUM(G10:G17)</f>
        <v>1497.03</v>
      </c>
      <c r="H18" s="278"/>
      <c r="I18" s="278">
        <f>I11+I12+I13+I14+I15+I16+I17</f>
        <v>1197.9299999999998</v>
      </c>
      <c r="J18" s="51"/>
      <c r="K18" s="50"/>
    </row>
    <row r="19" spans="1:11" ht="17.25" customHeight="1">
      <c r="A19" s="1027">
        <v>10</v>
      </c>
      <c r="B19" s="61" t="s">
        <v>565</v>
      </c>
      <c r="C19" s="1028"/>
      <c r="D19" s="1028"/>
      <c r="E19" s="1028"/>
      <c r="F19" s="1003" t="s">
        <v>1358</v>
      </c>
      <c r="G19" s="275">
        <f>G18*F19</f>
        <v>134.7327</v>
      </c>
      <c r="H19" s="275">
        <v>0.09</v>
      </c>
      <c r="I19" s="275">
        <f>I18*H19</f>
        <v>107.81369999999998</v>
      </c>
      <c r="J19" s="53"/>
      <c r="K19" s="51"/>
    </row>
    <row r="20" spans="1:10" ht="17.25" customHeight="1">
      <c r="A20" s="1029">
        <v>11</v>
      </c>
      <c r="B20" s="1172" t="s">
        <v>448</v>
      </c>
      <c r="C20" s="1173"/>
      <c r="D20" s="1172" t="s">
        <v>1664</v>
      </c>
      <c r="E20" s="1174"/>
      <c r="F20" s="1175"/>
      <c r="G20" s="275">
        <f>125*1.0891*1.086275*1.1112*1.0685*1.06217*1.059*1.2778</f>
        <v>252.36968742089078</v>
      </c>
      <c r="H20" s="275"/>
      <c r="I20" s="275">
        <f>+G20</f>
        <v>252.36968742089078</v>
      </c>
      <c r="J20" s="481"/>
    </row>
    <row r="21" spans="1:10" ht="17.25" customHeight="1">
      <c r="A21" s="1024">
        <v>12</v>
      </c>
      <c r="B21" s="1176" t="s">
        <v>1686</v>
      </c>
      <c r="C21" s="1176"/>
      <c r="D21" s="1176"/>
      <c r="E21" s="1176"/>
      <c r="F21" s="1176"/>
      <c r="G21" s="278">
        <f>G18+G19+G20</f>
        <v>1884.1323874208908</v>
      </c>
      <c r="H21" s="278"/>
      <c r="I21" s="278">
        <f>I18+I19+I20</f>
        <v>1558.1133874208906</v>
      </c>
      <c r="J21" s="481"/>
    </row>
    <row r="22" spans="1:10" ht="19.5" customHeight="1">
      <c r="A22" s="1024">
        <v>13</v>
      </c>
      <c r="B22" s="1176" t="s">
        <v>1687</v>
      </c>
      <c r="C22" s="1176"/>
      <c r="D22" s="1176"/>
      <c r="E22" s="1176"/>
      <c r="F22" s="1176"/>
      <c r="G22" s="278">
        <f>ROUND(G21,0)</f>
        <v>1884</v>
      </c>
      <c r="H22" s="278"/>
      <c r="I22" s="278">
        <f>ROUND(I21,0)</f>
        <v>1558</v>
      </c>
      <c r="J22" s="481"/>
    </row>
    <row r="23" spans="1:10" ht="17.25" customHeight="1">
      <c r="A23" s="480"/>
      <c r="B23" s="483"/>
      <c r="C23" s="483"/>
      <c r="D23" s="483"/>
      <c r="E23" s="483"/>
      <c r="F23" s="483"/>
      <c r="G23" s="484"/>
      <c r="H23" s="484"/>
      <c r="I23" s="484"/>
      <c r="J23" s="481"/>
    </row>
    <row r="24" spans="1:10" ht="17.25" customHeight="1">
      <c r="A24" s="480"/>
      <c r="B24" s="483"/>
      <c r="C24" s="483"/>
      <c r="D24" s="483"/>
      <c r="E24" s="483"/>
      <c r="F24" s="483"/>
      <c r="G24" s="484"/>
      <c r="H24" s="484"/>
      <c r="I24" s="484"/>
      <c r="J24" s="481"/>
    </row>
  </sheetData>
  <sheetProtection/>
  <mergeCells count="14">
    <mergeCell ref="A7:A8"/>
    <mergeCell ref="B7:B8"/>
    <mergeCell ref="C7:C8"/>
    <mergeCell ref="D7:D8"/>
    <mergeCell ref="E7:E8"/>
    <mergeCell ref="F7:G7"/>
    <mergeCell ref="H7:I7"/>
    <mergeCell ref="B20:C20"/>
    <mergeCell ref="D20:F20"/>
    <mergeCell ref="B21:F21"/>
    <mergeCell ref="B22:F22"/>
    <mergeCell ref="B1:E1"/>
    <mergeCell ref="B3:G3"/>
    <mergeCell ref="B5:D5"/>
  </mergeCells>
  <conditionalFormatting sqref="C11 C16 B14:B16 B10:B11">
    <cfRule type="cellIs" priority="1" dxfId="0" operator="equal" stopIfTrue="1">
      <formula>"?"</formula>
    </cfRule>
  </conditionalFormatting>
  <printOptions/>
  <pageMargins left="0.95" right="0.15" top="0.65" bottom="0.38" header="0.35" footer="0.16"/>
  <pageSetup horizontalDpi="600" verticalDpi="600" orientation="landscape" scale="11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K18" sqref="K18"/>
    </sheetView>
  </sheetViews>
  <sheetFormatPr defaultColWidth="9.140625" defaultRowHeight="12.75"/>
  <cols>
    <col min="1" max="1" width="5.7109375" style="540" customWidth="1"/>
    <col min="2" max="2" width="43.00390625" style="1" customWidth="1"/>
    <col min="3" max="3" width="13.421875" style="1" customWidth="1"/>
    <col min="4" max="4" width="5.140625" style="1" bestFit="1" customWidth="1"/>
    <col min="5" max="5" width="5.00390625" style="1" bestFit="1" customWidth="1"/>
    <col min="6" max="6" width="7.28125" style="1" bestFit="1" customWidth="1"/>
    <col min="7" max="7" width="8.57421875" style="1" bestFit="1" customWidth="1"/>
    <col min="8" max="8" width="8.8515625" style="1" customWidth="1"/>
    <col min="9" max="9" width="11.57421875" style="1" customWidth="1"/>
    <col min="10" max="10" width="12.00390625" style="1" customWidth="1"/>
    <col min="11" max="16384" width="9.140625" style="1" customWidth="1"/>
  </cols>
  <sheetData>
    <row r="1" spans="1:8" ht="21" customHeight="1">
      <c r="A1" s="480"/>
      <c r="B1" s="1181" t="s">
        <v>1688</v>
      </c>
      <c r="C1" s="1181"/>
      <c r="D1" s="1181"/>
      <c r="E1" s="1181"/>
      <c r="F1" s="481"/>
      <c r="G1" s="481"/>
      <c r="H1" s="481"/>
    </row>
    <row r="2" spans="1:8" ht="6.75" customHeight="1">
      <c r="A2" s="480"/>
      <c r="B2" s="482"/>
      <c r="C2" s="482"/>
      <c r="D2" s="482"/>
      <c r="E2" s="482"/>
      <c r="F2" s="481"/>
      <c r="G2" s="481"/>
      <c r="H2" s="481"/>
    </row>
    <row r="3" spans="1:8" ht="35.25">
      <c r="A3" s="480"/>
      <c r="B3" s="1068" t="s">
        <v>1689</v>
      </c>
      <c r="C3" s="1068"/>
      <c r="D3" s="1068"/>
      <c r="E3" s="1068"/>
      <c r="F3" s="1068"/>
      <c r="G3" s="1068"/>
      <c r="H3" s="481"/>
    </row>
    <row r="4" spans="1:8" ht="15.75" customHeight="1">
      <c r="A4" s="480"/>
      <c r="B4" s="485"/>
      <c r="C4" s="485"/>
      <c r="D4" s="485"/>
      <c r="E4" s="485"/>
      <c r="F4" s="485"/>
      <c r="G4" s="485"/>
      <c r="H4" s="481"/>
    </row>
    <row r="5" spans="1:9" ht="18" customHeight="1">
      <c r="A5" s="480"/>
      <c r="B5" s="548" t="s">
        <v>1668</v>
      </c>
      <c r="C5" s="486"/>
      <c r="D5" s="486"/>
      <c r="E5" s="486"/>
      <c r="H5" s="1114" t="s">
        <v>1823</v>
      </c>
      <c r="I5" s="1114"/>
    </row>
    <row r="6" spans="1:8" ht="11.25" customHeight="1">
      <c r="A6" s="480"/>
      <c r="B6" s="487"/>
      <c r="C6" s="486"/>
      <c r="D6" s="486"/>
      <c r="E6" s="486"/>
      <c r="F6" s="487"/>
      <c r="G6" s="487"/>
      <c r="H6" s="481"/>
    </row>
    <row r="7" spans="1:9" ht="32.25" customHeight="1">
      <c r="A7" s="1079" t="s">
        <v>1225</v>
      </c>
      <c r="B7" s="1079" t="s">
        <v>16</v>
      </c>
      <c r="C7" s="1079" t="s">
        <v>308</v>
      </c>
      <c r="D7" s="1079" t="s">
        <v>17</v>
      </c>
      <c r="E7" s="1079" t="s">
        <v>580</v>
      </c>
      <c r="F7" s="1079" t="s">
        <v>1653</v>
      </c>
      <c r="G7" s="1079"/>
      <c r="H7" s="1079" t="s">
        <v>1654</v>
      </c>
      <c r="I7" s="1079"/>
    </row>
    <row r="8" spans="1:9" ht="18.75" customHeight="1">
      <c r="A8" s="1079"/>
      <c r="B8" s="1079"/>
      <c r="C8" s="1079"/>
      <c r="D8" s="1079"/>
      <c r="E8" s="1079"/>
      <c r="F8" s="526" t="s">
        <v>309</v>
      </c>
      <c r="G8" s="526" t="s">
        <v>747</v>
      </c>
      <c r="H8" s="526" t="s">
        <v>309</v>
      </c>
      <c r="I8" s="526" t="s">
        <v>747</v>
      </c>
    </row>
    <row r="9" spans="1:11" ht="15">
      <c r="A9" s="526">
        <v>1</v>
      </c>
      <c r="B9" s="526">
        <v>2</v>
      </c>
      <c r="C9" s="526">
        <v>3</v>
      </c>
      <c r="D9" s="526">
        <v>4</v>
      </c>
      <c r="E9" s="526">
        <v>5</v>
      </c>
      <c r="F9" s="526">
        <v>6</v>
      </c>
      <c r="G9" s="526">
        <v>7</v>
      </c>
      <c r="H9" s="525">
        <v>8</v>
      </c>
      <c r="I9" s="526">
        <v>9</v>
      </c>
      <c r="J9" s="419"/>
      <c r="K9" s="57"/>
    </row>
    <row r="10" spans="1:10" ht="30.75" customHeight="1">
      <c r="A10" s="1029">
        <v>1</v>
      </c>
      <c r="B10" s="68" t="s">
        <v>1809</v>
      </c>
      <c r="C10" s="554">
        <v>7130311028</v>
      </c>
      <c r="D10" s="496" t="s">
        <v>980</v>
      </c>
      <c r="E10" s="496">
        <v>30</v>
      </c>
      <c r="F10" s="275">
        <f>VLOOKUP(C10,'SOR RATE'!A:D,4,0)</f>
        <v>68.07</v>
      </c>
      <c r="G10" s="275">
        <f>F10*E10</f>
        <v>2042.1</v>
      </c>
      <c r="H10" s="496"/>
      <c r="I10" s="496"/>
      <c r="J10" s="73"/>
    </row>
    <row r="11" spans="1:9" ht="30" customHeight="1">
      <c r="A11" s="1029">
        <v>2</v>
      </c>
      <c r="B11" s="722" t="s">
        <v>1671</v>
      </c>
      <c r="C11" s="496">
        <v>7130310040</v>
      </c>
      <c r="D11" s="496" t="s">
        <v>980</v>
      </c>
      <c r="E11" s="496">
        <v>30</v>
      </c>
      <c r="F11" s="275"/>
      <c r="G11" s="275"/>
      <c r="H11" s="275">
        <f>VLOOKUP(C11,'SOR RATE'!A:D,4,0)</f>
        <v>60.26</v>
      </c>
      <c r="I11" s="275">
        <f aca="true" t="shared" si="0" ref="I11:I17">E11*H11</f>
        <v>1807.8</v>
      </c>
    </row>
    <row r="12" spans="1:9" ht="15.75" customHeight="1">
      <c r="A12" s="1029">
        <v>3</v>
      </c>
      <c r="B12" s="274" t="s">
        <v>1658</v>
      </c>
      <c r="C12" s="554">
        <v>7130820101</v>
      </c>
      <c r="D12" s="496" t="s">
        <v>749</v>
      </c>
      <c r="E12" s="496">
        <v>2</v>
      </c>
      <c r="F12" s="275">
        <f>VLOOKUP(C12,'SOR RATE'!A:D,4,0)</f>
        <v>11.31</v>
      </c>
      <c r="G12" s="275">
        <f aca="true" t="shared" si="1" ref="G12:G17">F12*E12</f>
        <v>22.62</v>
      </c>
      <c r="H12" s="275">
        <f aca="true" t="shared" si="2" ref="H12:H17">+F12</f>
        <v>11.31</v>
      </c>
      <c r="I12" s="275">
        <f t="shared" si="0"/>
        <v>22.62</v>
      </c>
    </row>
    <row r="13" spans="1:9" ht="15.75" customHeight="1">
      <c r="A13" s="1029">
        <v>4</v>
      </c>
      <c r="B13" s="274" t="s">
        <v>1659</v>
      </c>
      <c r="C13" s="554">
        <v>7130820206</v>
      </c>
      <c r="D13" s="496" t="s">
        <v>749</v>
      </c>
      <c r="E13" s="496">
        <v>2</v>
      </c>
      <c r="F13" s="275">
        <f>VLOOKUP(C13,'SOR RATE'!A:D,4,0)</f>
        <v>35.7</v>
      </c>
      <c r="G13" s="275">
        <f t="shared" si="1"/>
        <v>71.4</v>
      </c>
      <c r="H13" s="275">
        <f t="shared" si="2"/>
        <v>35.7</v>
      </c>
      <c r="I13" s="275">
        <f t="shared" si="0"/>
        <v>71.4</v>
      </c>
    </row>
    <row r="14" spans="1:13" ht="49.5" customHeight="1">
      <c r="A14" s="1029">
        <v>5</v>
      </c>
      <c r="B14" s="722" t="s">
        <v>833</v>
      </c>
      <c r="C14" s="554">
        <v>7132455002</v>
      </c>
      <c r="D14" s="496" t="s">
        <v>1373</v>
      </c>
      <c r="E14" s="496">
        <v>1</v>
      </c>
      <c r="F14" s="275">
        <f>VLOOKUP(C14,'SOR RATE'!A:D,4,0)</f>
        <v>307.92</v>
      </c>
      <c r="G14" s="275">
        <f t="shared" si="1"/>
        <v>307.92</v>
      </c>
      <c r="H14" s="275">
        <f t="shared" si="2"/>
        <v>307.92</v>
      </c>
      <c r="I14" s="275">
        <f t="shared" si="0"/>
        <v>307.92</v>
      </c>
      <c r="K14" s="38"/>
      <c r="L14" s="38"/>
      <c r="M14" s="38"/>
    </row>
    <row r="15" spans="1:9" ht="15.75" customHeight="1">
      <c r="A15" s="1029">
        <v>6</v>
      </c>
      <c r="B15" s="274" t="s">
        <v>1660</v>
      </c>
      <c r="C15" s="496">
        <v>7132476007</v>
      </c>
      <c r="D15" s="554" t="s">
        <v>897</v>
      </c>
      <c r="E15" s="496">
        <v>1</v>
      </c>
      <c r="F15" s="275">
        <f>VLOOKUP(C15,'SOR RATE'!A:D,4,0)</f>
        <v>14.29</v>
      </c>
      <c r="G15" s="275">
        <f t="shared" si="1"/>
        <v>14.29</v>
      </c>
      <c r="H15" s="275">
        <f t="shared" si="2"/>
        <v>14.29</v>
      </c>
      <c r="I15" s="275">
        <f t="shared" si="0"/>
        <v>14.29</v>
      </c>
    </row>
    <row r="16" spans="1:9" ht="15.75" customHeight="1">
      <c r="A16" s="1029">
        <v>7</v>
      </c>
      <c r="B16" s="274" t="s">
        <v>1661</v>
      </c>
      <c r="C16" s="554"/>
      <c r="D16" s="496" t="s">
        <v>1662</v>
      </c>
      <c r="E16" s="496">
        <v>1</v>
      </c>
      <c r="F16" s="275">
        <v>40</v>
      </c>
      <c r="G16" s="275">
        <f t="shared" si="1"/>
        <v>40</v>
      </c>
      <c r="H16" s="275">
        <f t="shared" si="2"/>
        <v>40</v>
      </c>
      <c r="I16" s="275">
        <f t="shared" si="0"/>
        <v>40</v>
      </c>
    </row>
    <row r="17" spans="1:9" ht="15.75" customHeight="1">
      <c r="A17" s="1029">
        <v>8</v>
      </c>
      <c r="B17" s="274" t="s">
        <v>1663</v>
      </c>
      <c r="C17" s="554"/>
      <c r="D17" s="496" t="s">
        <v>1662</v>
      </c>
      <c r="E17" s="496">
        <v>1</v>
      </c>
      <c r="F17" s="275">
        <f>'E-5'!F17</f>
        <v>30</v>
      </c>
      <c r="G17" s="275">
        <f t="shared" si="1"/>
        <v>30</v>
      </c>
      <c r="H17" s="275">
        <f t="shared" si="2"/>
        <v>30</v>
      </c>
      <c r="I17" s="275">
        <f t="shared" si="0"/>
        <v>30</v>
      </c>
    </row>
    <row r="18" spans="1:11" ht="15.75" customHeight="1">
      <c r="A18" s="1030">
        <v>9</v>
      </c>
      <c r="B18" s="277" t="s">
        <v>566</v>
      </c>
      <c r="C18" s="1025"/>
      <c r="D18" s="1025"/>
      <c r="E18" s="1025"/>
      <c r="F18" s="1026"/>
      <c r="G18" s="1031">
        <f>SUM(G10:G17)</f>
        <v>2528.33</v>
      </c>
      <c r="H18" s="496"/>
      <c r="I18" s="278">
        <f>I11+I12+I13+I14+I15+I16+I17</f>
        <v>2294.0299999999997</v>
      </c>
      <c r="J18" s="51"/>
      <c r="K18" s="50"/>
    </row>
    <row r="19" spans="1:11" ht="15.75" customHeight="1">
      <c r="A19" s="1029">
        <v>10</v>
      </c>
      <c r="B19" s="61" t="s">
        <v>565</v>
      </c>
      <c r="C19" s="1028"/>
      <c r="D19" s="1028"/>
      <c r="E19" s="1028"/>
      <c r="F19" s="1003" t="s">
        <v>1358</v>
      </c>
      <c r="G19" s="275">
        <f>G18*F19</f>
        <v>227.54969999999997</v>
      </c>
      <c r="H19" s="496">
        <v>0.09</v>
      </c>
      <c r="I19" s="275">
        <f>I18*H19</f>
        <v>206.46269999999996</v>
      </c>
      <c r="J19" s="53"/>
      <c r="K19" s="51"/>
    </row>
    <row r="20" spans="1:9" ht="15.75" customHeight="1">
      <c r="A20" s="1029">
        <v>11</v>
      </c>
      <c r="B20" s="1178" t="s">
        <v>448</v>
      </c>
      <c r="C20" s="1178"/>
      <c r="D20" s="1179" t="s">
        <v>1664</v>
      </c>
      <c r="E20" s="1179"/>
      <c r="F20" s="1179"/>
      <c r="G20" s="275">
        <f>200*1.0891*1.086275*1.1112*1.0685*1.06217*1.059*1.2778</f>
        <v>403.7914998734252</v>
      </c>
      <c r="H20" s="496"/>
      <c r="I20" s="275">
        <f>+G20</f>
        <v>403.7914998734252</v>
      </c>
    </row>
    <row r="21" spans="1:9" ht="15.75" customHeight="1">
      <c r="A21" s="1030">
        <v>12</v>
      </c>
      <c r="B21" s="1180" t="s">
        <v>1690</v>
      </c>
      <c r="C21" s="1180"/>
      <c r="D21" s="1180"/>
      <c r="E21" s="1180"/>
      <c r="F21" s="1180"/>
      <c r="G21" s="278">
        <f>G18+G19+G20</f>
        <v>3159.6711998734254</v>
      </c>
      <c r="H21" s="496"/>
      <c r="I21" s="278">
        <f>I18+I19+I20</f>
        <v>2904.2841998734248</v>
      </c>
    </row>
    <row r="22" spans="1:9" ht="15.75" customHeight="1">
      <c r="A22" s="1032">
        <v>13</v>
      </c>
      <c r="B22" s="1180" t="s">
        <v>1691</v>
      </c>
      <c r="C22" s="1180"/>
      <c r="D22" s="1180"/>
      <c r="E22" s="1180"/>
      <c r="F22" s="1180"/>
      <c r="G22" s="278">
        <f>ROUND(G21,0)</f>
        <v>3160</v>
      </c>
      <c r="H22" s="278"/>
      <c r="I22" s="278">
        <f>ROUND(I21,0)</f>
        <v>2904</v>
      </c>
    </row>
    <row r="23" spans="1:8" ht="14.25">
      <c r="A23" s="334"/>
      <c r="B23" s="481"/>
      <c r="C23" s="481"/>
      <c r="D23" s="481"/>
      <c r="E23" s="481"/>
      <c r="F23" s="481"/>
      <c r="G23" s="481"/>
      <c r="H23" s="481"/>
    </row>
  </sheetData>
  <sheetProtection/>
  <mergeCells count="14">
    <mergeCell ref="H5:I5"/>
    <mergeCell ref="A7:A8"/>
    <mergeCell ref="B7:B8"/>
    <mergeCell ref="C7:C8"/>
    <mergeCell ref="D7:D8"/>
    <mergeCell ref="E7:E8"/>
    <mergeCell ref="F7:G7"/>
    <mergeCell ref="H7:I7"/>
    <mergeCell ref="B20:C20"/>
    <mergeCell ref="D20:F20"/>
    <mergeCell ref="B21:F21"/>
    <mergeCell ref="B22:F22"/>
    <mergeCell ref="B1:E1"/>
    <mergeCell ref="B3:G3"/>
  </mergeCells>
  <conditionalFormatting sqref="B10 C16:C17 B15:B17">
    <cfRule type="cellIs" priority="1" dxfId="0" operator="equal" stopIfTrue="1">
      <formula>"?"</formula>
    </cfRule>
  </conditionalFormatting>
  <printOptions/>
  <pageMargins left="1.06" right="0.15" top="1" bottom="0.3" header="0.5" footer="0.16"/>
  <pageSetup horizontalDpi="600" verticalDpi="600" orientation="landscape" scale="11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96"/>
  <sheetViews>
    <sheetView zoomScalePageLayoutView="0" workbookViewId="0" topLeftCell="A1">
      <pane xSplit="2" ySplit="3" topLeftCell="C495" activePane="bottomRight" state="frozen"/>
      <selection pane="topLeft" activeCell="A1" sqref="A1"/>
      <selection pane="topRight" activeCell="C1" sqref="C1"/>
      <selection pane="bottomLeft" activeCell="A2" sqref="A2"/>
      <selection pane="bottomRight" activeCell="E609" sqref="E609"/>
    </sheetView>
  </sheetViews>
  <sheetFormatPr defaultColWidth="9.140625" defaultRowHeight="12.75"/>
  <cols>
    <col min="1" max="1" width="18.7109375" style="1" bestFit="1" customWidth="1"/>
    <col min="2" max="2" width="37.28125" style="1" customWidth="1"/>
    <col min="3" max="3" width="9.28125" style="1" bestFit="1" customWidth="1"/>
    <col min="4" max="4" width="15.8515625" style="1" customWidth="1"/>
    <col min="5" max="5" width="32.8515625" style="1" customWidth="1"/>
    <col min="6" max="6" width="16.28125" style="1" customWidth="1"/>
    <col min="7" max="7" width="40.8515625" style="1" customWidth="1"/>
    <col min="8" max="8" width="20.00390625" style="1" customWidth="1"/>
    <col min="9" max="9" width="24.8515625" style="1" customWidth="1"/>
    <col min="10" max="10" width="48.140625" style="1" customWidth="1"/>
    <col min="11" max="11" width="16.140625" style="1" customWidth="1"/>
    <col min="12" max="12" width="15.28125" style="1" customWidth="1"/>
    <col min="13" max="16384" width="9.140625" style="1" customWidth="1"/>
  </cols>
  <sheetData>
    <row r="1" spans="2:3" ht="18" customHeight="1">
      <c r="B1" s="606" t="s">
        <v>1824</v>
      </c>
      <c r="C1" s="115"/>
    </row>
    <row r="2" spans="2:12" ht="21" customHeight="1">
      <c r="B2" s="24" t="s">
        <v>1917</v>
      </c>
      <c r="K2" s="303" t="s">
        <v>1820</v>
      </c>
      <c r="L2" s="24" t="s">
        <v>1821</v>
      </c>
    </row>
    <row r="3" spans="1:12" s="35" customFormat="1" ht="25.5">
      <c r="A3" s="514" t="s">
        <v>1231</v>
      </c>
      <c r="B3" s="514" t="s">
        <v>1232</v>
      </c>
      <c r="C3" s="514" t="s">
        <v>17</v>
      </c>
      <c r="D3" s="514" t="s">
        <v>1825</v>
      </c>
      <c r="E3" s="514" t="s">
        <v>218</v>
      </c>
      <c r="F3" s="1062" t="s">
        <v>1756</v>
      </c>
      <c r="G3" s="1062"/>
      <c r="K3" s="35" t="s">
        <v>1822</v>
      </c>
      <c r="L3" s="35" t="s">
        <v>1821</v>
      </c>
    </row>
    <row r="4" spans="1:9" ht="20.25" customHeight="1">
      <c r="A4" s="638">
        <v>7130200201</v>
      </c>
      <c r="B4" s="639" t="s">
        <v>583</v>
      </c>
      <c r="C4" s="640" t="s">
        <v>903</v>
      </c>
      <c r="D4" s="641">
        <v>3298</v>
      </c>
      <c r="E4" s="642"/>
      <c r="F4" s="33"/>
      <c r="G4" s="492" t="s">
        <v>1895</v>
      </c>
      <c r="H4" s="27"/>
      <c r="I4" s="27"/>
    </row>
    <row r="5" spans="1:7" ht="20.25">
      <c r="A5" s="638">
        <v>7130200202</v>
      </c>
      <c r="B5" s="639" t="s">
        <v>584</v>
      </c>
      <c r="C5" s="640" t="s">
        <v>903</v>
      </c>
      <c r="D5" s="641">
        <v>2510.8</v>
      </c>
      <c r="E5" s="642"/>
      <c r="F5" s="592" t="s">
        <v>982</v>
      </c>
      <c r="G5" s="492" t="s">
        <v>1895</v>
      </c>
    </row>
    <row r="6" spans="1:8" ht="25.5">
      <c r="A6" s="643">
        <v>7130200204</v>
      </c>
      <c r="B6" s="644" t="s">
        <v>717</v>
      </c>
      <c r="C6" s="645" t="s">
        <v>996</v>
      </c>
      <c r="D6" s="641">
        <v>176.87</v>
      </c>
      <c r="E6" s="644" t="s">
        <v>368</v>
      </c>
      <c r="F6" s="506"/>
      <c r="H6" s="24"/>
    </row>
    <row r="7" spans="1:6" ht="16.5" customHeight="1">
      <c r="A7" s="643">
        <v>7130200401</v>
      </c>
      <c r="B7" s="644" t="s">
        <v>822</v>
      </c>
      <c r="C7" s="645" t="s">
        <v>823</v>
      </c>
      <c r="D7" s="641">
        <v>240.64</v>
      </c>
      <c r="E7" s="646" t="s">
        <v>932</v>
      </c>
      <c r="F7" s="506"/>
    </row>
    <row r="8" spans="1:8" ht="18.75" customHeight="1">
      <c r="A8" s="643">
        <v>7130201343</v>
      </c>
      <c r="B8" s="644" t="s">
        <v>718</v>
      </c>
      <c r="C8" s="640" t="s">
        <v>926</v>
      </c>
      <c r="D8" s="641">
        <v>33</v>
      </c>
      <c r="E8" s="646"/>
      <c r="F8" s="506"/>
      <c r="G8" s="15"/>
      <c r="H8" s="24"/>
    </row>
    <row r="9" spans="1:6" ht="19.5" customHeight="1">
      <c r="A9" s="647">
        <v>7130210809</v>
      </c>
      <c r="B9" s="639" t="s">
        <v>1093</v>
      </c>
      <c r="C9" s="640" t="s">
        <v>751</v>
      </c>
      <c r="D9" s="641">
        <v>327.94</v>
      </c>
      <c r="E9" s="646" t="s">
        <v>369</v>
      </c>
      <c r="F9" s="506"/>
    </row>
    <row r="10" spans="1:8" ht="19.5" customHeight="1">
      <c r="A10" s="643">
        <v>7130211121</v>
      </c>
      <c r="B10" s="644" t="s">
        <v>1299</v>
      </c>
      <c r="C10" s="645" t="s">
        <v>905</v>
      </c>
      <c r="D10" s="641">
        <v>251.07</v>
      </c>
      <c r="E10" s="646"/>
      <c r="F10" s="506"/>
      <c r="H10" s="24"/>
    </row>
    <row r="11" spans="1:6" ht="19.5" customHeight="1">
      <c r="A11" s="647">
        <v>7130211158</v>
      </c>
      <c r="B11" s="639" t="s">
        <v>832</v>
      </c>
      <c r="C11" s="640" t="s">
        <v>751</v>
      </c>
      <c r="D11" s="641">
        <v>146.77</v>
      </c>
      <c r="E11" s="646" t="s">
        <v>370</v>
      </c>
      <c r="F11" s="506"/>
    </row>
    <row r="12" spans="1:9" ht="27" customHeight="1">
      <c r="A12" s="645">
        <v>7130300025</v>
      </c>
      <c r="B12" s="644" t="s">
        <v>977</v>
      </c>
      <c r="C12" s="641" t="s">
        <v>210</v>
      </c>
      <c r="D12" s="641">
        <v>155833.08</v>
      </c>
      <c r="E12" s="644" t="s">
        <v>371</v>
      </c>
      <c r="F12" s="507" t="s">
        <v>1814</v>
      </c>
      <c r="G12" s="563"/>
      <c r="H12" s="563"/>
      <c r="I12" s="128"/>
    </row>
    <row r="13" spans="1:6" ht="25.5">
      <c r="A13" s="640">
        <v>7130310007</v>
      </c>
      <c r="B13" s="639" t="s">
        <v>205</v>
      </c>
      <c r="C13" s="640" t="s">
        <v>607</v>
      </c>
      <c r="D13" s="641">
        <v>50410.97</v>
      </c>
      <c r="E13" s="644" t="s">
        <v>372</v>
      </c>
      <c r="F13" s="507" t="s">
        <v>1814</v>
      </c>
    </row>
    <row r="14" spans="1:6" ht="25.5" customHeight="1">
      <c r="A14" s="640">
        <v>7130310008</v>
      </c>
      <c r="B14" s="639" t="s">
        <v>206</v>
      </c>
      <c r="C14" s="640" t="s">
        <v>607</v>
      </c>
      <c r="D14" s="641">
        <v>90389.05</v>
      </c>
      <c r="E14" s="644" t="s">
        <v>1267</v>
      </c>
      <c r="F14" s="507" t="s">
        <v>1814</v>
      </c>
    </row>
    <row r="15" spans="1:6" ht="27" customHeight="1">
      <c r="A15" s="643">
        <v>7130310020</v>
      </c>
      <c r="B15" s="646" t="s">
        <v>726</v>
      </c>
      <c r="C15" s="645" t="s">
        <v>210</v>
      </c>
      <c r="D15" s="641">
        <v>2150624.22</v>
      </c>
      <c r="E15" s="644" t="s">
        <v>219</v>
      </c>
      <c r="F15" s="506"/>
    </row>
    <row r="16" spans="1:6" ht="27" customHeight="1">
      <c r="A16" s="640">
        <v>7130310021</v>
      </c>
      <c r="B16" s="639" t="s">
        <v>203</v>
      </c>
      <c r="C16" s="640" t="s">
        <v>607</v>
      </c>
      <c r="D16" s="641">
        <v>28156.59</v>
      </c>
      <c r="E16" s="644" t="s">
        <v>1268</v>
      </c>
      <c r="F16" s="507" t="s">
        <v>1814</v>
      </c>
    </row>
    <row r="17" spans="1:6" ht="25.5">
      <c r="A17" s="640">
        <v>7130310022</v>
      </c>
      <c r="B17" s="639" t="s">
        <v>204</v>
      </c>
      <c r="C17" s="640" t="s">
        <v>607</v>
      </c>
      <c r="D17" s="641">
        <v>36754.4</v>
      </c>
      <c r="E17" s="644" t="s">
        <v>327</v>
      </c>
      <c r="F17" s="507" t="s">
        <v>1814</v>
      </c>
    </row>
    <row r="18" spans="1:8" ht="27.75" customHeight="1">
      <c r="A18" s="640">
        <v>7130310031</v>
      </c>
      <c r="B18" s="644" t="s">
        <v>202</v>
      </c>
      <c r="C18" s="641" t="s">
        <v>210</v>
      </c>
      <c r="D18" s="641">
        <v>70032.16</v>
      </c>
      <c r="E18" s="644" t="s">
        <v>328</v>
      </c>
      <c r="F18" s="507" t="s">
        <v>1814</v>
      </c>
      <c r="G18" s="563"/>
      <c r="H18" s="563"/>
    </row>
    <row r="19" spans="1:8" ht="27.75" customHeight="1">
      <c r="A19" s="640">
        <v>7130310032</v>
      </c>
      <c r="B19" s="644" t="s">
        <v>409</v>
      </c>
      <c r="C19" s="641" t="s">
        <v>210</v>
      </c>
      <c r="D19" s="641">
        <v>76711.73</v>
      </c>
      <c r="E19" s="644" t="s">
        <v>329</v>
      </c>
      <c r="F19" s="507" t="s">
        <v>1814</v>
      </c>
      <c r="G19" s="563"/>
      <c r="H19" s="563"/>
    </row>
    <row r="20" spans="1:8" ht="27.75" customHeight="1">
      <c r="A20" s="640">
        <v>7130310033</v>
      </c>
      <c r="B20" s="644" t="s">
        <v>410</v>
      </c>
      <c r="C20" s="641" t="s">
        <v>210</v>
      </c>
      <c r="D20" s="641">
        <v>88905.8</v>
      </c>
      <c r="E20" s="644" t="s">
        <v>330</v>
      </c>
      <c r="F20" s="507" t="s">
        <v>1814</v>
      </c>
      <c r="G20" s="563"/>
      <c r="H20" s="563"/>
    </row>
    <row r="21" spans="1:8" ht="25.5">
      <c r="A21" s="648">
        <v>7130310038</v>
      </c>
      <c r="B21" s="639" t="s">
        <v>615</v>
      </c>
      <c r="C21" s="640" t="s">
        <v>616</v>
      </c>
      <c r="D21" s="641">
        <v>6.89</v>
      </c>
      <c r="E21" s="644" t="s">
        <v>331</v>
      </c>
      <c r="F21" s="506"/>
      <c r="H21" s="24"/>
    </row>
    <row r="22" spans="1:6" ht="25.5">
      <c r="A22" s="648">
        <v>7130310039</v>
      </c>
      <c r="B22" s="639" t="s">
        <v>617</v>
      </c>
      <c r="C22" s="640" t="s">
        <v>616</v>
      </c>
      <c r="D22" s="641">
        <v>29.08</v>
      </c>
      <c r="E22" s="644" t="s">
        <v>332</v>
      </c>
      <c r="F22" s="506"/>
    </row>
    <row r="23" spans="1:10" ht="26.25" customHeight="1">
      <c r="A23" s="638">
        <v>7130310040</v>
      </c>
      <c r="B23" s="639" t="s">
        <v>618</v>
      </c>
      <c r="C23" s="640" t="s">
        <v>616</v>
      </c>
      <c r="D23" s="641">
        <v>60.26</v>
      </c>
      <c r="E23" s="644" t="s">
        <v>333</v>
      </c>
      <c r="F23" s="506"/>
      <c r="J23" s="33"/>
    </row>
    <row r="24" spans="1:6" ht="25.5">
      <c r="A24" s="638">
        <v>7130310041</v>
      </c>
      <c r="B24" s="639" t="s">
        <v>207</v>
      </c>
      <c r="C24" s="640" t="s">
        <v>607</v>
      </c>
      <c r="D24" s="641">
        <v>102715.58</v>
      </c>
      <c r="E24" s="644" t="s">
        <v>334</v>
      </c>
      <c r="F24" s="507" t="s">
        <v>1814</v>
      </c>
    </row>
    <row r="25" spans="1:6" ht="25.5">
      <c r="A25" s="638">
        <v>7130310042</v>
      </c>
      <c r="B25" s="639" t="s">
        <v>209</v>
      </c>
      <c r="C25" s="645" t="s">
        <v>210</v>
      </c>
      <c r="D25" s="641">
        <v>39339.51</v>
      </c>
      <c r="E25" s="644" t="s">
        <v>335</v>
      </c>
      <c r="F25" s="506"/>
    </row>
    <row r="26" spans="1:6" ht="25.5">
      <c r="A26" s="638">
        <v>7130310044</v>
      </c>
      <c r="B26" s="646" t="s">
        <v>618</v>
      </c>
      <c r="C26" s="645" t="s">
        <v>210</v>
      </c>
      <c r="D26" s="641">
        <v>55892.5</v>
      </c>
      <c r="E26" s="644" t="s">
        <v>336</v>
      </c>
      <c r="F26" s="506"/>
    </row>
    <row r="27" spans="1:6" ht="18" customHeight="1">
      <c r="A27" s="643">
        <v>7130310048</v>
      </c>
      <c r="B27" s="646" t="s">
        <v>619</v>
      </c>
      <c r="C27" s="645" t="s">
        <v>750</v>
      </c>
      <c r="D27" s="641">
        <v>88826.17</v>
      </c>
      <c r="E27" s="646"/>
      <c r="F27" s="506"/>
    </row>
    <row r="28" spans="1:7" ht="18" customHeight="1">
      <c r="A28" s="649">
        <v>7130310049</v>
      </c>
      <c r="B28" s="650" t="s">
        <v>754</v>
      </c>
      <c r="C28" s="651" t="s">
        <v>210</v>
      </c>
      <c r="D28" s="641"/>
      <c r="E28" s="646"/>
      <c r="F28" s="506"/>
      <c r="G28" s="594" t="s">
        <v>1829</v>
      </c>
    </row>
    <row r="29" spans="1:7" ht="18" customHeight="1">
      <c r="A29" s="652">
        <v>7130310050</v>
      </c>
      <c r="B29" s="650" t="s">
        <v>755</v>
      </c>
      <c r="C29" s="651" t="s">
        <v>210</v>
      </c>
      <c r="D29" s="641"/>
      <c r="E29" s="646"/>
      <c r="F29" s="506"/>
      <c r="G29" s="594" t="s">
        <v>1829</v>
      </c>
    </row>
    <row r="30" spans="1:6" ht="25.5">
      <c r="A30" s="643">
        <v>7130310051</v>
      </c>
      <c r="B30" s="646" t="s">
        <v>756</v>
      </c>
      <c r="C30" s="645" t="s">
        <v>210</v>
      </c>
      <c r="D30" s="641">
        <v>920903.65</v>
      </c>
      <c r="E30" s="644" t="s">
        <v>337</v>
      </c>
      <c r="F30" s="506"/>
    </row>
    <row r="31" spans="1:6" ht="21" customHeight="1">
      <c r="A31" s="643">
        <v>7130310052</v>
      </c>
      <c r="B31" s="646" t="s">
        <v>757</v>
      </c>
      <c r="C31" s="645" t="s">
        <v>210</v>
      </c>
      <c r="D31" s="641">
        <v>1130461.76</v>
      </c>
      <c r="E31" s="646"/>
      <c r="F31" s="506"/>
    </row>
    <row r="32" spans="1:6" ht="27" customHeight="1">
      <c r="A32" s="643">
        <v>7130310053</v>
      </c>
      <c r="B32" s="646" t="s">
        <v>758</v>
      </c>
      <c r="C32" s="645" t="s">
        <v>210</v>
      </c>
      <c r="D32" s="641">
        <v>1292072.61</v>
      </c>
      <c r="E32" s="644" t="s">
        <v>338</v>
      </c>
      <c r="F32" s="506"/>
    </row>
    <row r="33" spans="1:6" ht="25.5">
      <c r="A33" s="643">
        <v>7130310054</v>
      </c>
      <c r="B33" s="646" t="s">
        <v>759</v>
      </c>
      <c r="C33" s="645" t="s">
        <v>210</v>
      </c>
      <c r="D33" s="641">
        <v>1643003.83</v>
      </c>
      <c r="E33" s="644" t="s">
        <v>339</v>
      </c>
      <c r="F33" s="506"/>
    </row>
    <row r="34" spans="1:8" ht="25.5">
      <c r="A34" s="643">
        <v>7130310055</v>
      </c>
      <c r="B34" s="653" t="s">
        <v>760</v>
      </c>
      <c r="C34" s="645" t="s">
        <v>748</v>
      </c>
      <c r="D34" s="641">
        <v>17826.52</v>
      </c>
      <c r="E34" s="646"/>
      <c r="F34" s="506"/>
      <c r="H34" s="24"/>
    </row>
    <row r="35" spans="1:8" ht="25.5">
      <c r="A35" s="643">
        <v>7130310056</v>
      </c>
      <c r="B35" s="653" t="s">
        <v>761</v>
      </c>
      <c r="C35" s="645" t="s">
        <v>748</v>
      </c>
      <c r="D35" s="641">
        <v>25466.45</v>
      </c>
      <c r="E35" s="646"/>
      <c r="F35" s="506"/>
      <c r="H35" s="24"/>
    </row>
    <row r="36" spans="1:8" ht="25.5">
      <c r="A36" s="643">
        <v>7130310057</v>
      </c>
      <c r="B36" s="644" t="s">
        <v>193</v>
      </c>
      <c r="C36" s="641" t="s">
        <v>210</v>
      </c>
      <c r="D36" s="641">
        <v>314067.63</v>
      </c>
      <c r="E36" s="644" t="s">
        <v>109</v>
      </c>
      <c r="F36" s="506"/>
      <c r="H36" s="33"/>
    </row>
    <row r="37" spans="1:6" ht="25.5">
      <c r="A37" s="643">
        <v>7130310058</v>
      </c>
      <c r="B37" s="644" t="s">
        <v>194</v>
      </c>
      <c r="C37" s="641" t="s">
        <v>210</v>
      </c>
      <c r="D37" s="641">
        <v>444325.88</v>
      </c>
      <c r="E37" s="646"/>
      <c r="F37" s="506"/>
    </row>
    <row r="38" spans="1:6" ht="28.5" customHeight="1">
      <c r="A38" s="643">
        <v>7130310059</v>
      </c>
      <c r="B38" s="644" t="s">
        <v>195</v>
      </c>
      <c r="C38" s="641" t="s">
        <v>210</v>
      </c>
      <c r="D38" s="641">
        <v>664391.87</v>
      </c>
      <c r="E38" s="646"/>
      <c r="F38" s="506"/>
    </row>
    <row r="39" spans="1:6" ht="25.5">
      <c r="A39" s="643">
        <v>7130310060</v>
      </c>
      <c r="B39" s="644" t="s">
        <v>196</v>
      </c>
      <c r="C39" s="641" t="s">
        <v>210</v>
      </c>
      <c r="D39" s="641">
        <v>626686.74</v>
      </c>
      <c r="E39" s="646"/>
      <c r="F39" s="506"/>
    </row>
    <row r="40" spans="1:8" ht="25.5">
      <c r="A40" s="643">
        <v>7130310061</v>
      </c>
      <c r="B40" s="653" t="s">
        <v>197</v>
      </c>
      <c r="C40" s="645" t="s">
        <v>748</v>
      </c>
      <c r="D40" s="641">
        <v>3890.71</v>
      </c>
      <c r="E40" s="644" t="s">
        <v>110</v>
      </c>
      <c r="F40" s="506"/>
      <c r="H40" s="24"/>
    </row>
    <row r="41" spans="1:8" ht="25.5">
      <c r="A41" s="643">
        <v>7130310062</v>
      </c>
      <c r="B41" s="653" t="s">
        <v>198</v>
      </c>
      <c r="C41" s="645" t="s">
        <v>748</v>
      </c>
      <c r="D41" s="641">
        <v>4094.35</v>
      </c>
      <c r="E41" s="644" t="s">
        <v>110</v>
      </c>
      <c r="F41" s="506"/>
      <c r="H41" s="24"/>
    </row>
    <row r="42" spans="1:8" ht="25.5">
      <c r="A42" s="638">
        <v>7130310063</v>
      </c>
      <c r="B42" s="644" t="s">
        <v>201</v>
      </c>
      <c r="C42" s="641" t="s">
        <v>210</v>
      </c>
      <c r="D42" s="641">
        <v>41184.18</v>
      </c>
      <c r="E42" s="644" t="s">
        <v>111</v>
      </c>
      <c r="F42" s="506"/>
      <c r="G42" s="563"/>
      <c r="H42" s="563"/>
    </row>
    <row r="43" spans="1:8" ht="25.5">
      <c r="A43" s="640">
        <v>7130310065</v>
      </c>
      <c r="B43" s="644" t="s">
        <v>407</v>
      </c>
      <c r="C43" s="641" t="s">
        <v>210</v>
      </c>
      <c r="D43" s="641">
        <v>112761</v>
      </c>
      <c r="E43" s="644" t="s">
        <v>258</v>
      </c>
      <c r="F43" s="507" t="s">
        <v>1814</v>
      </c>
      <c r="G43" s="563"/>
      <c r="H43" s="563"/>
    </row>
    <row r="44" spans="1:8" ht="25.5">
      <c r="A44" s="638">
        <v>7130310066</v>
      </c>
      <c r="B44" s="644" t="s">
        <v>976</v>
      </c>
      <c r="C44" s="641" t="s">
        <v>210</v>
      </c>
      <c r="D44" s="641">
        <v>123896.74</v>
      </c>
      <c r="E44" s="644" t="s">
        <v>259</v>
      </c>
      <c r="F44" s="507"/>
      <c r="G44" s="582"/>
      <c r="H44" s="582"/>
    </row>
    <row r="45" spans="1:8" ht="25.5">
      <c r="A45" s="645">
        <v>7130310070</v>
      </c>
      <c r="B45" s="644" t="s">
        <v>734</v>
      </c>
      <c r="C45" s="641" t="s">
        <v>210</v>
      </c>
      <c r="D45" s="641">
        <v>50684.56</v>
      </c>
      <c r="E45" s="646" t="s">
        <v>1027</v>
      </c>
      <c r="F45" s="507" t="s">
        <v>1814</v>
      </c>
      <c r="G45" s="489"/>
      <c r="H45" s="563"/>
    </row>
    <row r="46" spans="1:8" ht="25.5">
      <c r="A46" s="645">
        <v>7130310073</v>
      </c>
      <c r="B46" s="644" t="s">
        <v>24</v>
      </c>
      <c r="C46" s="641" t="s">
        <v>210</v>
      </c>
      <c r="D46" s="641">
        <v>57407.11</v>
      </c>
      <c r="E46" s="646" t="s">
        <v>1028</v>
      </c>
      <c r="F46" s="507" t="s">
        <v>1814</v>
      </c>
      <c r="G46" s="489"/>
      <c r="H46" s="563"/>
    </row>
    <row r="47" spans="1:7" ht="26.25" customHeight="1">
      <c r="A47" s="643">
        <v>7130310075</v>
      </c>
      <c r="B47" s="646" t="s">
        <v>759</v>
      </c>
      <c r="C47" s="645" t="s">
        <v>210</v>
      </c>
      <c r="D47" s="641">
        <v>1967969.25</v>
      </c>
      <c r="E47" s="644" t="s">
        <v>1029</v>
      </c>
      <c r="F47" s="506"/>
      <c r="G47" s="15"/>
    </row>
    <row r="48" spans="1:7" ht="19.5" customHeight="1">
      <c r="A48" s="643">
        <v>7130310076</v>
      </c>
      <c r="B48" s="644" t="s">
        <v>611</v>
      </c>
      <c r="C48" s="640" t="s">
        <v>210</v>
      </c>
      <c r="D48" s="641">
        <v>525190.66</v>
      </c>
      <c r="E48" s="654"/>
      <c r="F48" s="325"/>
      <c r="G48" s="15"/>
    </row>
    <row r="49" spans="1:7" ht="25.5">
      <c r="A49" s="643">
        <v>7130310077</v>
      </c>
      <c r="B49" s="644" t="s">
        <v>727</v>
      </c>
      <c r="C49" s="640" t="s">
        <v>210</v>
      </c>
      <c r="D49" s="641">
        <v>531363.19</v>
      </c>
      <c r="E49" s="644" t="s">
        <v>1030</v>
      </c>
      <c r="F49" s="506"/>
      <c r="G49" s="15"/>
    </row>
    <row r="50" spans="1:7" ht="25.5">
      <c r="A50" s="643">
        <v>7130310078</v>
      </c>
      <c r="B50" s="644" t="s">
        <v>620</v>
      </c>
      <c r="C50" s="640" t="s">
        <v>210</v>
      </c>
      <c r="D50" s="641">
        <v>792369.6</v>
      </c>
      <c r="E50" s="644" t="s">
        <v>1031</v>
      </c>
      <c r="F50" s="506"/>
      <c r="G50" s="15"/>
    </row>
    <row r="51" spans="1:7" ht="25.5">
      <c r="A51" s="643">
        <v>7130310079</v>
      </c>
      <c r="B51" s="644" t="s">
        <v>621</v>
      </c>
      <c r="C51" s="640" t="s">
        <v>210</v>
      </c>
      <c r="D51" s="641">
        <v>960042.67</v>
      </c>
      <c r="E51" s="644" t="s">
        <v>1032</v>
      </c>
      <c r="F51" s="506"/>
      <c r="G51" s="15"/>
    </row>
    <row r="52" spans="1:7" ht="25.5">
      <c r="A52" s="643">
        <v>7130310080</v>
      </c>
      <c r="B52" s="644" t="s">
        <v>614</v>
      </c>
      <c r="C52" s="640" t="s">
        <v>210</v>
      </c>
      <c r="D52" s="641">
        <v>1479179.02</v>
      </c>
      <c r="E52" s="644" t="s">
        <v>1033</v>
      </c>
      <c r="F52" s="506"/>
      <c r="G52" s="15"/>
    </row>
    <row r="53" spans="1:7" ht="25.5">
      <c r="A53" s="647">
        <v>7130310652</v>
      </c>
      <c r="B53" s="639" t="s">
        <v>221</v>
      </c>
      <c r="C53" s="640" t="s">
        <v>607</v>
      </c>
      <c r="D53" s="641">
        <v>36259.28</v>
      </c>
      <c r="E53" s="644" t="s">
        <v>1836</v>
      </c>
      <c r="F53" s="325"/>
      <c r="G53" s="15"/>
    </row>
    <row r="54" spans="1:7" ht="25.5">
      <c r="A54" s="647">
        <v>7130310652</v>
      </c>
      <c r="B54" s="639" t="s">
        <v>220</v>
      </c>
      <c r="C54" s="640" t="s">
        <v>607</v>
      </c>
      <c r="D54" s="641"/>
      <c r="E54" s="644" t="s">
        <v>1836</v>
      </c>
      <c r="F54" s="506"/>
      <c r="G54" s="594" t="s">
        <v>1829</v>
      </c>
    </row>
    <row r="55" spans="1:7" ht="25.5">
      <c r="A55" s="647">
        <v>7130310654</v>
      </c>
      <c r="B55" s="639" t="s">
        <v>222</v>
      </c>
      <c r="C55" s="640" t="s">
        <v>607</v>
      </c>
      <c r="D55" s="641">
        <v>62758.54</v>
      </c>
      <c r="E55" s="644" t="s">
        <v>1835</v>
      </c>
      <c r="F55" s="325"/>
      <c r="G55" s="15"/>
    </row>
    <row r="56" spans="1:7" ht="25.5">
      <c r="A56" s="640">
        <v>7130310654</v>
      </c>
      <c r="B56" s="639" t="s">
        <v>223</v>
      </c>
      <c r="C56" s="640" t="s">
        <v>607</v>
      </c>
      <c r="D56" s="641"/>
      <c r="E56" s="644" t="s">
        <v>1835</v>
      </c>
      <c r="F56" s="325"/>
      <c r="G56" s="594" t="s">
        <v>1829</v>
      </c>
    </row>
    <row r="57" spans="1:7" ht="25.5">
      <c r="A57" s="647">
        <v>7130310658</v>
      </c>
      <c r="B57" s="639" t="s">
        <v>224</v>
      </c>
      <c r="C57" s="640" t="s">
        <v>607</v>
      </c>
      <c r="D57" s="641">
        <v>119188.38</v>
      </c>
      <c r="E57" s="644" t="s">
        <v>1034</v>
      </c>
      <c r="F57" s="325"/>
      <c r="G57" s="15"/>
    </row>
    <row r="58" spans="1:7" ht="25.5">
      <c r="A58" s="647">
        <v>7130310681</v>
      </c>
      <c r="B58" s="639" t="s">
        <v>225</v>
      </c>
      <c r="C58" s="640" t="s">
        <v>607</v>
      </c>
      <c r="D58" s="641">
        <v>148732.16</v>
      </c>
      <c r="E58" s="644" t="s">
        <v>1834</v>
      </c>
      <c r="F58" s="325"/>
      <c r="G58" s="601" t="s">
        <v>1856</v>
      </c>
    </row>
    <row r="59" spans="1:7" ht="25.5">
      <c r="A59" s="647">
        <v>7130310660</v>
      </c>
      <c r="B59" s="639" t="s">
        <v>226</v>
      </c>
      <c r="C59" s="640" t="s">
        <v>607</v>
      </c>
      <c r="D59" s="641">
        <v>205733.24</v>
      </c>
      <c r="E59" s="644" t="s">
        <v>1834</v>
      </c>
      <c r="F59" s="325"/>
      <c r="G59" s="15"/>
    </row>
    <row r="60" spans="1:7" ht="25.5">
      <c r="A60" s="647">
        <v>7130310662</v>
      </c>
      <c r="B60" s="639" t="s">
        <v>227</v>
      </c>
      <c r="C60" s="640" t="s">
        <v>607</v>
      </c>
      <c r="D60" s="641">
        <v>161612.87</v>
      </c>
      <c r="E60" s="644" t="s">
        <v>1833</v>
      </c>
      <c r="F60" s="325"/>
      <c r="G60" s="15"/>
    </row>
    <row r="61" spans="1:7" ht="25.5">
      <c r="A61" s="645">
        <v>7130311008</v>
      </c>
      <c r="B61" s="639" t="s">
        <v>608</v>
      </c>
      <c r="C61" s="640" t="s">
        <v>609</v>
      </c>
      <c r="D61" s="641">
        <v>18174.64</v>
      </c>
      <c r="E61" s="644" t="s">
        <v>6</v>
      </c>
      <c r="F61" s="325"/>
      <c r="G61" s="15"/>
    </row>
    <row r="62" spans="1:7" ht="25.5">
      <c r="A62" s="640">
        <v>7130311009</v>
      </c>
      <c r="B62" s="639" t="s">
        <v>610</v>
      </c>
      <c r="C62" s="640" t="s">
        <v>609</v>
      </c>
      <c r="D62" s="641">
        <v>42707.22</v>
      </c>
      <c r="E62" s="644" t="s">
        <v>7</v>
      </c>
      <c r="F62" s="325"/>
      <c r="G62" s="15"/>
    </row>
    <row r="63" spans="1:7" ht="25.5">
      <c r="A63" s="640">
        <v>7130311010</v>
      </c>
      <c r="B63" s="639" t="s">
        <v>611</v>
      </c>
      <c r="C63" s="640" t="s">
        <v>609</v>
      </c>
      <c r="D63" s="641">
        <v>57599</v>
      </c>
      <c r="E63" s="644" t="s">
        <v>1079</v>
      </c>
      <c r="F63" s="325"/>
      <c r="G63" s="15"/>
    </row>
    <row r="64" spans="1:7" ht="25.5">
      <c r="A64" s="640">
        <v>7130311011</v>
      </c>
      <c r="B64" s="639" t="s">
        <v>612</v>
      </c>
      <c r="C64" s="640" t="s">
        <v>609</v>
      </c>
      <c r="D64" s="641">
        <v>110492.79</v>
      </c>
      <c r="E64" s="644" t="s">
        <v>1080</v>
      </c>
      <c r="F64" s="325"/>
      <c r="G64" s="15"/>
    </row>
    <row r="65" spans="1:7" ht="25.5">
      <c r="A65" s="640">
        <v>7130311012</v>
      </c>
      <c r="B65" s="639" t="s">
        <v>613</v>
      </c>
      <c r="C65" s="640" t="s">
        <v>609</v>
      </c>
      <c r="D65" s="641">
        <v>215644.03</v>
      </c>
      <c r="E65" s="644" t="s">
        <v>1081</v>
      </c>
      <c r="F65" s="325"/>
      <c r="G65" s="15"/>
    </row>
    <row r="66" spans="1:7" ht="25.5">
      <c r="A66" s="640">
        <v>7130311013</v>
      </c>
      <c r="B66" s="639" t="s">
        <v>614</v>
      </c>
      <c r="C66" s="640" t="s">
        <v>609</v>
      </c>
      <c r="D66" s="641">
        <v>267750.7</v>
      </c>
      <c r="E66" s="644" t="s">
        <v>1082</v>
      </c>
      <c r="F66" s="325"/>
      <c r="G66" s="15"/>
    </row>
    <row r="67" spans="1:7" ht="25.5">
      <c r="A67" s="647">
        <v>7130311054</v>
      </c>
      <c r="B67" s="639" t="s">
        <v>753</v>
      </c>
      <c r="C67" s="645" t="s">
        <v>210</v>
      </c>
      <c r="D67" s="641"/>
      <c r="E67" s="644" t="s">
        <v>1083</v>
      </c>
      <c r="F67" s="565"/>
      <c r="G67" s="600" t="s">
        <v>1829</v>
      </c>
    </row>
    <row r="68" spans="1:7" ht="25.5">
      <c r="A68" s="647">
        <v>7130311057</v>
      </c>
      <c r="B68" s="639" t="s">
        <v>207</v>
      </c>
      <c r="C68" s="645" t="s">
        <v>210</v>
      </c>
      <c r="D68" s="641"/>
      <c r="E68" s="644" t="s">
        <v>1084</v>
      </c>
      <c r="F68" s="325"/>
      <c r="G68" s="600" t="s">
        <v>1829</v>
      </c>
    </row>
    <row r="69" spans="1:7" ht="25.5">
      <c r="A69" s="647">
        <v>7130311061</v>
      </c>
      <c r="B69" s="639" t="s">
        <v>208</v>
      </c>
      <c r="C69" s="645" t="s">
        <v>210</v>
      </c>
      <c r="D69" s="641"/>
      <c r="E69" s="644" t="s">
        <v>1085</v>
      </c>
      <c r="F69" s="325"/>
      <c r="G69" s="600" t="s">
        <v>1829</v>
      </c>
    </row>
    <row r="70" spans="1:7" ht="25.5">
      <c r="A70" s="647">
        <v>7130311084</v>
      </c>
      <c r="B70" s="639" t="s">
        <v>209</v>
      </c>
      <c r="C70" s="645" t="s">
        <v>210</v>
      </c>
      <c r="D70" s="641">
        <v>58813.87</v>
      </c>
      <c r="E70" s="644" t="s">
        <v>1086</v>
      </c>
      <c r="F70" s="325"/>
      <c r="G70" s="15"/>
    </row>
    <row r="71" spans="1:8" ht="25.5">
      <c r="A71" s="643">
        <v>7130320037</v>
      </c>
      <c r="B71" s="653" t="s">
        <v>762</v>
      </c>
      <c r="C71" s="645" t="s">
        <v>748</v>
      </c>
      <c r="D71" s="641">
        <v>10186.59</v>
      </c>
      <c r="E71" s="654"/>
      <c r="F71" s="325"/>
      <c r="G71" s="15"/>
      <c r="H71" s="24"/>
    </row>
    <row r="72" spans="1:8" ht="25.5">
      <c r="A72" s="643">
        <v>7130320038</v>
      </c>
      <c r="B72" s="653" t="s">
        <v>763</v>
      </c>
      <c r="C72" s="645" t="s">
        <v>748</v>
      </c>
      <c r="D72" s="641">
        <v>12733.23</v>
      </c>
      <c r="E72" s="644" t="s">
        <v>1087</v>
      </c>
      <c r="F72" s="506"/>
      <c r="G72" s="15"/>
      <c r="H72" s="24"/>
    </row>
    <row r="73" spans="1:8" ht="25.5">
      <c r="A73" s="643">
        <v>7130320039</v>
      </c>
      <c r="B73" s="644" t="s">
        <v>995</v>
      </c>
      <c r="C73" s="645" t="s">
        <v>748</v>
      </c>
      <c r="D73" s="641">
        <v>15279.87</v>
      </c>
      <c r="E73" s="644" t="s">
        <v>1088</v>
      </c>
      <c r="F73" s="506"/>
      <c r="G73" s="15"/>
      <c r="H73" s="24"/>
    </row>
    <row r="74" spans="1:8" ht="26.25" customHeight="1">
      <c r="A74" s="643">
        <v>7130320040</v>
      </c>
      <c r="B74" s="644" t="s">
        <v>189</v>
      </c>
      <c r="C74" s="645" t="s">
        <v>748</v>
      </c>
      <c r="D74" s="641">
        <v>17826.52</v>
      </c>
      <c r="E74" s="644" t="s">
        <v>1089</v>
      </c>
      <c r="F74" s="506"/>
      <c r="G74" s="15"/>
      <c r="H74" s="24"/>
    </row>
    <row r="75" spans="1:8" ht="21" customHeight="1">
      <c r="A75" s="643">
        <v>7130320041</v>
      </c>
      <c r="B75" s="644" t="s">
        <v>190</v>
      </c>
      <c r="C75" s="645" t="s">
        <v>748</v>
      </c>
      <c r="D75" s="641">
        <v>19099.85</v>
      </c>
      <c r="E75" s="654"/>
      <c r="F75" s="325"/>
      <c r="G75" s="15"/>
      <c r="H75" s="24"/>
    </row>
    <row r="76" spans="1:8" ht="18" customHeight="1">
      <c r="A76" s="643">
        <v>7130320042</v>
      </c>
      <c r="B76" s="644" t="s">
        <v>191</v>
      </c>
      <c r="C76" s="645" t="s">
        <v>748</v>
      </c>
      <c r="D76" s="641">
        <v>22919.81</v>
      </c>
      <c r="E76" s="654"/>
      <c r="F76" s="325"/>
      <c r="G76" s="15"/>
      <c r="H76" s="24"/>
    </row>
    <row r="77" spans="1:8" ht="28.5" customHeight="1">
      <c r="A77" s="643">
        <v>7130320043</v>
      </c>
      <c r="B77" s="653" t="s">
        <v>1293</v>
      </c>
      <c r="C77" s="645" t="s">
        <v>926</v>
      </c>
      <c r="D77" s="641">
        <v>801.73</v>
      </c>
      <c r="E77" s="644" t="s">
        <v>1090</v>
      </c>
      <c r="F77" s="506"/>
      <c r="G77" s="15"/>
      <c r="H77" s="24"/>
    </row>
    <row r="78" spans="1:8" ht="27.75" customHeight="1">
      <c r="A78" s="655">
        <v>7130320044</v>
      </c>
      <c r="B78" s="653" t="s">
        <v>1292</v>
      </c>
      <c r="C78" s="645" t="s">
        <v>926</v>
      </c>
      <c r="D78" s="641">
        <v>866.03</v>
      </c>
      <c r="E78" s="654"/>
      <c r="F78" s="325"/>
      <c r="G78" s="15"/>
      <c r="H78" s="24"/>
    </row>
    <row r="79" spans="1:8" ht="19.5" customHeight="1">
      <c r="A79" s="655">
        <v>7130320045</v>
      </c>
      <c r="B79" s="644" t="s">
        <v>192</v>
      </c>
      <c r="C79" s="645" t="s">
        <v>926</v>
      </c>
      <c r="D79" s="641">
        <v>25.72</v>
      </c>
      <c r="E79" s="654"/>
      <c r="F79" s="325"/>
      <c r="G79" s="15"/>
      <c r="H79" s="24"/>
    </row>
    <row r="80" spans="1:8" ht="27.75" customHeight="1">
      <c r="A80" s="656">
        <v>7130320047</v>
      </c>
      <c r="B80" s="657" t="s">
        <v>1052</v>
      </c>
      <c r="C80" s="656" t="s">
        <v>748</v>
      </c>
      <c r="D80" s="658">
        <v>3863.4</v>
      </c>
      <c r="E80" s="644" t="s">
        <v>1091</v>
      </c>
      <c r="F80" s="564"/>
      <c r="G80" s="583"/>
      <c r="H80" s="24"/>
    </row>
    <row r="81" spans="1:8" ht="27.75" customHeight="1">
      <c r="A81" s="643">
        <v>7130320048</v>
      </c>
      <c r="B81" s="653" t="s">
        <v>199</v>
      </c>
      <c r="C81" s="645" t="s">
        <v>748</v>
      </c>
      <c r="D81" s="641">
        <v>2464.11</v>
      </c>
      <c r="E81" s="644" t="s">
        <v>340</v>
      </c>
      <c r="F81" s="506"/>
      <c r="G81" s="15"/>
      <c r="H81" s="24"/>
    </row>
    <row r="82" spans="1:8" ht="25.5">
      <c r="A82" s="643">
        <v>7130320049</v>
      </c>
      <c r="B82" s="653" t="s">
        <v>200</v>
      </c>
      <c r="C82" s="645" t="s">
        <v>748</v>
      </c>
      <c r="D82" s="641">
        <v>2595.95</v>
      </c>
      <c r="E82" s="646"/>
      <c r="F82" s="506"/>
      <c r="G82" s="15"/>
      <c r="H82" s="24"/>
    </row>
    <row r="83" spans="1:8" ht="25.5">
      <c r="A83" s="643">
        <v>7130320053</v>
      </c>
      <c r="B83" s="644" t="s">
        <v>1211</v>
      </c>
      <c r="C83" s="645" t="s">
        <v>19</v>
      </c>
      <c r="D83" s="641">
        <v>5.38</v>
      </c>
      <c r="E83" s="644" t="s">
        <v>341</v>
      </c>
      <c r="F83" s="506"/>
      <c r="G83" s="15"/>
      <c r="H83" s="24"/>
    </row>
    <row r="84" spans="1:8" ht="25.5">
      <c r="A84" s="643">
        <v>7130352010</v>
      </c>
      <c r="B84" s="644" t="s">
        <v>26</v>
      </c>
      <c r="C84" s="640" t="s">
        <v>748</v>
      </c>
      <c r="D84" s="641">
        <v>34129.38</v>
      </c>
      <c r="E84" s="644" t="s">
        <v>342</v>
      </c>
      <c r="F84" s="506"/>
      <c r="G84" s="15"/>
      <c r="H84" s="24"/>
    </row>
    <row r="85" spans="1:8" ht="18.75" customHeight="1">
      <c r="A85" s="638">
        <v>7130352030</v>
      </c>
      <c r="B85" s="646" t="s">
        <v>1212</v>
      </c>
      <c r="C85" s="645" t="s">
        <v>748</v>
      </c>
      <c r="D85" s="641">
        <v>826.38</v>
      </c>
      <c r="E85" s="646"/>
      <c r="F85" s="506"/>
      <c r="G85" s="15"/>
      <c r="H85" s="24"/>
    </row>
    <row r="86" spans="1:8" ht="25.5">
      <c r="A86" s="638">
        <v>7130352031</v>
      </c>
      <c r="B86" s="646" t="s">
        <v>1213</v>
      </c>
      <c r="C86" s="645" t="s">
        <v>748</v>
      </c>
      <c r="D86" s="641">
        <v>826.38</v>
      </c>
      <c r="E86" s="644" t="s">
        <v>343</v>
      </c>
      <c r="F86" s="506"/>
      <c r="G86" s="15"/>
      <c r="H86" s="24"/>
    </row>
    <row r="87" spans="1:8" ht="19.5" customHeight="1">
      <c r="A87" s="638">
        <v>7130352032</v>
      </c>
      <c r="B87" s="646" t="s">
        <v>294</v>
      </c>
      <c r="C87" s="645" t="s">
        <v>748</v>
      </c>
      <c r="D87" s="641">
        <v>887.47</v>
      </c>
      <c r="E87" s="654"/>
      <c r="F87" s="325"/>
      <c r="G87" s="15"/>
      <c r="H87" s="24"/>
    </row>
    <row r="88" spans="1:8" ht="19.5" customHeight="1">
      <c r="A88" s="638">
        <v>7130352033</v>
      </c>
      <c r="B88" s="646" t="s">
        <v>735</v>
      </c>
      <c r="C88" s="645" t="s">
        <v>748</v>
      </c>
      <c r="D88" s="641">
        <v>1247.6</v>
      </c>
      <c r="E88" s="654"/>
      <c r="F88" s="325"/>
      <c r="G88" s="15"/>
      <c r="H88" s="24"/>
    </row>
    <row r="89" spans="1:8" ht="19.5" customHeight="1">
      <c r="A89" s="638">
        <v>7130352034</v>
      </c>
      <c r="B89" s="646" t="s">
        <v>723</v>
      </c>
      <c r="C89" s="645" t="s">
        <v>748</v>
      </c>
      <c r="D89" s="641">
        <v>1859.61</v>
      </c>
      <c r="E89" s="654"/>
      <c r="F89" s="325"/>
      <c r="G89" s="15"/>
      <c r="H89" s="24"/>
    </row>
    <row r="90" spans="1:8" ht="19.5" customHeight="1">
      <c r="A90" s="638">
        <v>7130352035</v>
      </c>
      <c r="B90" s="646" t="s">
        <v>724</v>
      </c>
      <c r="C90" s="645" t="s">
        <v>748</v>
      </c>
      <c r="D90" s="641">
        <v>3005.39</v>
      </c>
      <c r="E90" s="654"/>
      <c r="F90" s="325"/>
      <c r="G90" s="15"/>
      <c r="H90" s="24"/>
    </row>
    <row r="91" spans="1:8" ht="19.5" customHeight="1">
      <c r="A91" s="638">
        <v>7130352036</v>
      </c>
      <c r="B91" s="646" t="s">
        <v>725</v>
      </c>
      <c r="C91" s="645" t="s">
        <v>748</v>
      </c>
      <c r="D91" s="641">
        <v>3840.33</v>
      </c>
      <c r="E91" s="654"/>
      <c r="F91" s="325"/>
      <c r="G91" s="15"/>
      <c r="H91" s="24"/>
    </row>
    <row r="92" spans="1:9" ht="25.5">
      <c r="A92" s="643">
        <v>7130352037</v>
      </c>
      <c r="B92" s="644" t="s">
        <v>1722</v>
      </c>
      <c r="C92" s="640" t="s">
        <v>748</v>
      </c>
      <c r="D92" s="641">
        <v>23009.06</v>
      </c>
      <c r="E92" s="644" t="s">
        <v>1723</v>
      </c>
      <c r="F92" s="508"/>
      <c r="G92" s="15"/>
      <c r="H92" s="1061"/>
      <c r="I92" s="1061"/>
    </row>
    <row r="93" spans="1:8" ht="18.75" customHeight="1">
      <c r="A93" s="643">
        <v>7130352038</v>
      </c>
      <c r="B93" s="646" t="s">
        <v>1859</v>
      </c>
      <c r="C93" s="645" t="s">
        <v>748</v>
      </c>
      <c r="D93" s="641">
        <v>13753.61</v>
      </c>
      <c r="E93" s="654"/>
      <c r="F93" s="325"/>
      <c r="G93" s="15"/>
      <c r="H93" s="24"/>
    </row>
    <row r="94" spans="1:8" ht="25.5">
      <c r="A94" s="643">
        <v>7130352039</v>
      </c>
      <c r="B94" s="646" t="s">
        <v>622</v>
      </c>
      <c r="C94" s="645" t="s">
        <v>748</v>
      </c>
      <c r="D94" s="641">
        <v>13753.61</v>
      </c>
      <c r="E94" s="644" t="s">
        <v>344</v>
      </c>
      <c r="F94" s="325"/>
      <c r="G94" s="15"/>
      <c r="H94" s="24"/>
    </row>
    <row r="95" spans="1:8" ht="25.5">
      <c r="A95" s="643">
        <v>7130352040</v>
      </c>
      <c r="B95" s="646" t="s">
        <v>623</v>
      </c>
      <c r="C95" s="645" t="s">
        <v>748</v>
      </c>
      <c r="D95" s="641">
        <v>18210.23</v>
      </c>
      <c r="E95" s="644" t="s">
        <v>345</v>
      </c>
      <c r="F95" s="325"/>
      <c r="G95" s="15"/>
      <c r="H95" s="24"/>
    </row>
    <row r="96" spans="1:8" ht="25.5">
      <c r="A96" s="643">
        <v>7130352041</v>
      </c>
      <c r="B96" s="646" t="s">
        <v>624</v>
      </c>
      <c r="C96" s="645" t="s">
        <v>748</v>
      </c>
      <c r="D96" s="641">
        <v>19916.04</v>
      </c>
      <c r="E96" s="644" t="s">
        <v>346</v>
      </c>
      <c r="F96" s="325"/>
      <c r="G96" s="15"/>
      <c r="H96" s="24"/>
    </row>
    <row r="97" spans="1:8" ht="25.5">
      <c r="A97" s="643">
        <v>7130352042</v>
      </c>
      <c r="B97" s="646" t="s">
        <v>625</v>
      </c>
      <c r="C97" s="645" t="s">
        <v>748</v>
      </c>
      <c r="D97" s="641">
        <v>19916.04</v>
      </c>
      <c r="E97" s="644" t="s">
        <v>347</v>
      </c>
      <c r="F97" s="325"/>
      <c r="G97" s="15"/>
      <c r="H97" s="24"/>
    </row>
    <row r="98" spans="1:8" ht="25.5">
      <c r="A98" s="643">
        <v>7130352043</v>
      </c>
      <c r="B98" s="646" t="s">
        <v>622</v>
      </c>
      <c r="C98" s="645" t="s">
        <v>748</v>
      </c>
      <c r="D98" s="641">
        <v>7149.38</v>
      </c>
      <c r="E98" s="644" t="s">
        <v>348</v>
      </c>
      <c r="F98" s="325"/>
      <c r="G98" s="15"/>
      <c r="H98" s="24"/>
    </row>
    <row r="99" spans="1:8" ht="25.5">
      <c r="A99" s="643">
        <v>7130352044</v>
      </c>
      <c r="B99" s="646" t="s">
        <v>624</v>
      </c>
      <c r="C99" s="645" t="s">
        <v>748</v>
      </c>
      <c r="D99" s="641">
        <v>8630.52</v>
      </c>
      <c r="E99" s="644" t="s">
        <v>349</v>
      </c>
      <c r="F99" s="325"/>
      <c r="G99" s="15"/>
      <c r="H99" s="24"/>
    </row>
    <row r="100" spans="1:8" ht="25.5">
      <c r="A100" s="643">
        <v>7130352045</v>
      </c>
      <c r="B100" s="646" t="s">
        <v>625</v>
      </c>
      <c r="C100" s="645" t="s">
        <v>748</v>
      </c>
      <c r="D100" s="641">
        <v>8878.79</v>
      </c>
      <c r="E100" s="644" t="s">
        <v>350</v>
      </c>
      <c r="F100" s="325"/>
      <c r="G100" s="15"/>
      <c r="H100" s="24"/>
    </row>
    <row r="101" spans="1:7" ht="27" customHeight="1">
      <c r="A101" s="648">
        <v>7130352046</v>
      </c>
      <c r="B101" s="639" t="s">
        <v>1860</v>
      </c>
      <c r="C101" s="640" t="s">
        <v>749</v>
      </c>
      <c r="D101" s="641">
        <v>3036.33</v>
      </c>
      <c r="E101" s="646" t="s">
        <v>351</v>
      </c>
      <c r="F101" s="325"/>
      <c r="G101" s="15"/>
    </row>
    <row r="102" spans="1:7" ht="25.5">
      <c r="A102" s="643">
        <v>7130354274</v>
      </c>
      <c r="B102" s="644" t="s">
        <v>682</v>
      </c>
      <c r="C102" s="645" t="s">
        <v>996</v>
      </c>
      <c r="D102" s="641">
        <v>2.17</v>
      </c>
      <c r="E102" s="644" t="s">
        <v>352</v>
      </c>
      <c r="F102" s="325"/>
      <c r="G102" s="15"/>
    </row>
    <row r="103" spans="1:7" ht="25.5">
      <c r="A103" s="643">
        <v>7130354275</v>
      </c>
      <c r="B103" s="644" t="s">
        <v>683</v>
      </c>
      <c r="C103" s="645" t="s">
        <v>996</v>
      </c>
      <c r="D103" s="641">
        <v>2.17</v>
      </c>
      <c r="E103" s="644" t="s">
        <v>461</v>
      </c>
      <c r="F103" s="325"/>
      <c r="G103" s="15"/>
    </row>
    <row r="104" spans="1:7" ht="18" customHeight="1">
      <c r="A104" s="643">
        <v>7130354276</v>
      </c>
      <c r="B104" s="644" t="s">
        <v>684</v>
      </c>
      <c r="C104" s="645" t="s">
        <v>996</v>
      </c>
      <c r="D104" s="641">
        <v>4.34</v>
      </c>
      <c r="E104" s="654"/>
      <c r="F104" s="325"/>
      <c r="G104" s="15"/>
    </row>
    <row r="105" spans="1:7" ht="18" customHeight="1">
      <c r="A105" s="643">
        <v>7130354277</v>
      </c>
      <c r="B105" s="644" t="s">
        <v>685</v>
      </c>
      <c r="C105" s="645" t="s">
        <v>996</v>
      </c>
      <c r="D105" s="641">
        <v>5.42</v>
      </c>
      <c r="E105" s="654"/>
      <c r="F105" s="325"/>
      <c r="G105" s="15"/>
    </row>
    <row r="106" spans="1:7" ht="25.5">
      <c r="A106" s="643">
        <v>7130354278</v>
      </c>
      <c r="B106" s="644" t="s">
        <v>686</v>
      </c>
      <c r="C106" s="645" t="s">
        <v>996</v>
      </c>
      <c r="D106" s="641">
        <v>8.69</v>
      </c>
      <c r="E106" s="644" t="s">
        <v>462</v>
      </c>
      <c r="F106" s="325"/>
      <c r="G106" s="15"/>
    </row>
    <row r="107" spans="1:7" ht="25.5">
      <c r="A107" s="643">
        <v>7130354279</v>
      </c>
      <c r="B107" s="644" t="s">
        <v>687</v>
      </c>
      <c r="C107" s="645" t="s">
        <v>996</v>
      </c>
      <c r="D107" s="641">
        <v>13.03</v>
      </c>
      <c r="E107" s="644" t="s">
        <v>463</v>
      </c>
      <c r="F107" s="325"/>
      <c r="G107" s="15"/>
    </row>
    <row r="108" spans="1:7" ht="25.5">
      <c r="A108" s="643">
        <v>7130354280</v>
      </c>
      <c r="B108" s="644" t="s">
        <v>688</v>
      </c>
      <c r="C108" s="645" t="s">
        <v>996</v>
      </c>
      <c r="D108" s="641">
        <v>16.29</v>
      </c>
      <c r="E108" s="644" t="s">
        <v>464</v>
      </c>
      <c r="F108" s="325"/>
      <c r="G108" s="15"/>
    </row>
    <row r="109" spans="1:7" ht="25.5">
      <c r="A109" s="643">
        <v>7130354281</v>
      </c>
      <c r="B109" s="644" t="s">
        <v>689</v>
      </c>
      <c r="C109" s="645" t="s">
        <v>996</v>
      </c>
      <c r="D109" s="641">
        <v>22.81</v>
      </c>
      <c r="E109" s="644" t="s">
        <v>465</v>
      </c>
      <c r="F109" s="325"/>
      <c r="G109" s="15"/>
    </row>
    <row r="110" spans="1:7" ht="25.5">
      <c r="A110" s="643">
        <v>7130354282</v>
      </c>
      <c r="B110" s="644" t="s">
        <v>690</v>
      </c>
      <c r="C110" s="645" t="s">
        <v>996</v>
      </c>
      <c r="D110" s="641">
        <v>26.06</v>
      </c>
      <c r="E110" s="644" t="s">
        <v>466</v>
      </c>
      <c r="F110" s="506"/>
      <c r="G110" s="14"/>
    </row>
    <row r="111" spans="1:7" ht="18.75" customHeight="1">
      <c r="A111" s="643">
        <v>7130354283</v>
      </c>
      <c r="B111" s="644" t="s">
        <v>134</v>
      </c>
      <c r="C111" s="645" t="s">
        <v>996</v>
      </c>
      <c r="D111" s="641">
        <v>41.26</v>
      </c>
      <c r="E111" s="654"/>
      <c r="F111" s="325"/>
      <c r="G111" s="15"/>
    </row>
    <row r="112" spans="1:7" ht="18.75" customHeight="1">
      <c r="A112" s="643">
        <v>7130354284</v>
      </c>
      <c r="B112" s="644" t="s">
        <v>135</v>
      </c>
      <c r="C112" s="645" t="s">
        <v>996</v>
      </c>
      <c r="D112" s="641">
        <v>46.69</v>
      </c>
      <c r="E112" s="654"/>
      <c r="F112" s="325"/>
      <c r="G112" s="15"/>
    </row>
    <row r="113" spans="1:7" ht="18.75" customHeight="1">
      <c r="A113" s="643">
        <v>7130354285</v>
      </c>
      <c r="B113" s="644" t="s">
        <v>136</v>
      </c>
      <c r="C113" s="645" t="s">
        <v>996</v>
      </c>
      <c r="D113" s="641">
        <v>67.32</v>
      </c>
      <c r="E113" s="654"/>
      <c r="F113" s="325"/>
      <c r="G113" s="15"/>
    </row>
    <row r="114" spans="1:7" ht="25.5">
      <c r="A114" s="643">
        <v>7130354286</v>
      </c>
      <c r="B114" s="644" t="s">
        <v>137</v>
      </c>
      <c r="C114" s="645" t="s">
        <v>996</v>
      </c>
      <c r="D114" s="641">
        <v>79.27</v>
      </c>
      <c r="E114" s="644" t="s">
        <v>1263</v>
      </c>
      <c r="F114" s="325"/>
      <c r="G114" s="15"/>
    </row>
    <row r="115" spans="1:7" ht="17.25" customHeight="1">
      <c r="A115" s="643">
        <v>7130354287</v>
      </c>
      <c r="B115" s="644" t="s">
        <v>138</v>
      </c>
      <c r="C115" s="645" t="s">
        <v>996</v>
      </c>
      <c r="D115" s="641">
        <v>102.07</v>
      </c>
      <c r="E115" s="654"/>
      <c r="F115" s="325"/>
      <c r="G115" s="15"/>
    </row>
    <row r="116" spans="1:8" ht="25.5">
      <c r="A116" s="645">
        <v>7130354442</v>
      </c>
      <c r="B116" s="644" t="s">
        <v>1165</v>
      </c>
      <c r="C116" s="641" t="s">
        <v>996</v>
      </c>
      <c r="D116" s="641">
        <v>661.1</v>
      </c>
      <c r="E116" s="644" t="s">
        <v>1264</v>
      </c>
      <c r="F116" s="506"/>
      <c r="G116" s="15"/>
      <c r="H116" s="24"/>
    </row>
    <row r="117" spans="1:8" ht="38.25">
      <c r="A117" s="645">
        <v>7130390003</v>
      </c>
      <c r="B117" s="644" t="s">
        <v>1162</v>
      </c>
      <c r="C117" s="641" t="s">
        <v>996</v>
      </c>
      <c r="D117" s="641">
        <v>84.3</v>
      </c>
      <c r="E117" s="644" t="s">
        <v>1265</v>
      </c>
      <c r="F117" s="506"/>
      <c r="G117" s="15"/>
      <c r="H117" s="24"/>
    </row>
    <row r="118" spans="1:8" ht="38.25">
      <c r="A118" s="645">
        <v>7130390004</v>
      </c>
      <c r="B118" s="644" t="s">
        <v>1163</v>
      </c>
      <c r="C118" s="641" t="s">
        <v>996</v>
      </c>
      <c r="D118" s="641">
        <v>109.82</v>
      </c>
      <c r="E118" s="644" t="s">
        <v>1266</v>
      </c>
      <c r="F118" s="506"/>
      <c r="G118" s="15"/>
      <c r="H118" s="24"/>
    </row>
    <row r="119" spans="1:8" ht="39.75" customHeight="1">
      <c r="A119" s="645">
        <v>7130390005</v>
      </c>
      <c r="B119" s="644" t="s">
        <v>1164</v>
      </c>
      <c r="C119" s="641" t="s">
        <v>996</v>
      </c>
      <c r="D119" s="641">
        <v>153.07</v>
      </c>
      <c r="E119" s="644" t="s">
        <v>70</v>
      </c>
      <c r="F119" s="506"/>
      <c r="G119" s="15"/>
      <c r="H119" s="24"/>
    </row>
    <row r="120" spans="1:8" ht="25.5">
      <c r="A120" s="643">
        <v>7130390006</v>
      </c>
      <c r="B120" s="644" t="s">
        <v>1210</v>
      </c>
      <c r="C120" s="645" t="s">
        <v>926</v>
      </c>
      <c r="D120" s="641">
        <v>119.8</v>
      </c>
      <c r="E120" s="644" t="s">
        <v>71</v>
      </c>
      <c r="F120" s="506"/>
      <c r="G120" s="15"/>
      <c r="H120" s="24"/>
    </row>
    <row r="121" spans="1:8" ht="18.75" customHeight="1">
      <c r="A121" s="645">
        <v>7130390007</v>
      </c>
      <c r="B121" s="644" t="s">
        <v>738</v>
      </c>
      <c r="C121" s="641" t="s">
        <v>996</v>
      </c>
      <c r="D121" s="641">
        <v>169.29</v>
      </c>
      <c r="E121" s="646" t="s">
        <v>72</v>
      </c>
      <c r="F121" s="506"/>
      <c r="G121" s="15"/>
      <c r="H121" s="24"/>
    </row>
    <row r="122" spans="1:8" ht="18.75" customHeight="1">
      <c r="A122" s="643">
        <v>7130390019</v>
      </c>
      <c r="B122" s="644" t="s">
        <v>739</v>
      </c>
      <c r="C122" s="645" t="s">
        <v>996</v>
      </c>
      <c r="D122" s="641">
        <v>28.93</v>
      </c>
      <c r="E122" s="646" t="s">
        <v>73</v>
      </c>
      <c r="F122" s="506"/>
      <c r="G122" s="15"/>
      <c r="H122" s="24"/>
    </row>
    <row r="123" spans="1:7" ht="18.75" customHeight="1">
      <c r="A123" s="647">
        <v>7130600023</v>
      </c>
      <c r="B123" s="639" t="s">
        <v>528</v>
      </c>
      <c r="C123" s="640" t="s">
        <v>600</v>
      </c>
      <c r="D123" s="641">
        <v>41788.76</v>
      </c>
      <c r="E123" s="646" t="s">
        <v>74</v>
      </c>
      <c r="F123" s="506"/>
      <c r="G123" s="15"/>
    </row>
    <row r="124" spans="1:7" ht="18.75" customHeight="1">
      <c r="A124" s="647">
        <v>7130600032</v>
      </c>
      <c r="B124" s="639" t="s">
        <v>527</v>
      </c>
      <c r="C124" s="640" t="s">
        <v>600</v>
      </c>
      <c r="D124" s="641">
        <v>41788.76</v>
      </c>
      <c r="E124" s="646" t="s">
        <v>75</v>
      </c>
      <c r="F124" s="506"/>
      <c r="G124" s="15"/>
    </row>
    <row r="125" spans="1:7" ht="18.75" customHeight="1">
      <c r="A125" s="647">
        <v>7130600051</v>
      </c>
      <c r="B125" s="639" t="s">
        <v>582</v>
      </c>
      <c r="C125" s="640" t="s">
        <v>600</v>
      </c>
      <c r="D125" s="641">
        <v>41788.76</v>
      </c>
      <c r="E125" s="646" t="s">
        <v>76</v>
      </c>
      <c r="F125" s="506"/>
      <c r="G125" s="15"/>
    </row>
    <row r="126" spans="1:7" ht="18.75" customHeight="1">
      <c r="A126" s="640">
        <v>7130600166</v>
      </c>
      <c r="B126" s="639" t="s">
        <v>524</v>
      </c>
      <c r="C126" s="640" t="s">
        <v>600</v>
      </c>
      <c r="D126" s="641">
        <v>41788.76</v>
      </c>
      <c r="E126" s="646" t="s">
        <v>112</v>
      </c>
      <c r="F126" s="506"/>
      <c r="G126" s="15"/>
    </row>
    <row r="127" spans="1:7" ht="18.75" customHeight="1">
      <c r="A127" s="638">
        <v>7130600173</v>
      </c>
      <c r="B127" s="639" t="s">
        <v>526</v>
      </c>
      <c r="C127" s="640" t="s">
        <v>600</v>
      </c>
      <c r="D127" s="641">
        <v>45476.44</v>
      </c>
      <c r="E127" s="646" t="s">
        <v>113</v>
      </c>
      <c r="F127" s="506"/>
      <c r="G127" s="15"/>
    </row>
    <row r="128" spans="1:7" ht="21" customHeight="1">
      <c r="A128" s="640">
        <v>7130600230</v>
      </c>
      <c r="B128" s="639" t="s">
        <v>523</v>
      </c>
      <c r="C128" s="640" t="s">
        <v>600</v>
      </c>
      <c r="D128" s="641">
        <v>41788.76</v>
      </c>
      <c r="E128" s="646" t="s">
        <v>1322</v>
      </c>
      <c r="F128" s="506"/>
      <c r="G128" s="15"/>
    </row>
    <row r="129" spans="1:7" ht="22.5" customHeight="1">
      <c r="A129" s="640">
        <v>7130600495</v>
      </c>
      <c r="B129" s="639" t="s">
        <v>525</v>
      </c>
      <c r="C129" s="640" t="s">
        <v>600</v>
      </c>
      <c r="D129" s="641">
        <v>45476.44</v>
      </c>
      <c r="E129" s="646" t="s">
        <v>1323</v>
      </c>
      <c r="F129" s="506"/>
      <c r="G129" s="15"/>
    </row>
    <row r="130" spans="1:7" ht="22.5" customHeight="1">
      <c r="A130" s="647">
        <v>7130600635</v>
      </c>
      <c r="B130" s="639" t="s">
        <v>605</v>
      </c>
      <c r="C130" s="640" t="s">
        <v>600</v>
      </c>
      <c r="D130" s="641">
        <v>39505.14</v>
      </c>
      <c r="E130" s="646" t="s">
        <v>1324</v>
      </c>
      <c r="F130" s="506"/>
      <c r="G130" s="15"/>
    </row>
    <row r="131" spans="1:8" ht="22.5" customHeight="1">
      <c r="A131" s="647">
        <v>7130600675</v>
      </c>
      <c r="B131" s="639" t="s">
        <v>604</v>
      </c>
      <c r="C131" s="640" t="s">
        <v>600</v>
      </c>
      <c r="D131" s="641">
        <v>44915.52</v>
      </c>
      <c r="E131" s="646" t="s">
        <v>1325</v>
      </c>
      <c r="F131" s="507" t="s">
        <v>1814</v>
      </c>
      <c r="G131" s="489"/>
      <c r="H131" s="563"/>
    </row>
    <row r="132" spans="1:7" ht="25.5">
      <c r="A132" s="647">
        <v>7130601070</v>
      </c>
      <c r="B132" s="659" t="s">
        <v>599</v>
      </c>
      <c r="C132" s="640" t="s">
        <v>600</v>
      </c>
      <c r="D132" s="641">
        <v>50674.4</v>
      </c>
      <c r="E132" s="644" t="s">
        <v>1326</v>
      </c>
      <c r="F132" s="506"/>
      <c r="G132" s="347"/>
    </row>
    <row r="133" spans="1:7" ht="18.75" customHeight="1">
      <c r="A133" s="647">
        <v>7130601072</v>
      </c>
      <c r="B133" s="659" t="s">
        <v>601</v>
      </c>
      <c r="C133" s="640" t="s">
        <v>600</v>
      </c>
      <c r="D133" s="641">
        <v>50674.4</v>
      </c>
      <c r="E133" s="646" t="s">
        <v>1327</v>
      </c>
      <c r="F133" s="506"/>
      <c r="G133" s="347"/>
    </row>
    <row r="134" spans="1:8" ht="27.75" customHeight="1">
      <c r="A134" s="647">
        <v>7130601958</v>
      </c>
      <c r="B134" s="639" t="s">
        <v>602</v>
      </c>
      <c r="C134" s="640" t="s">
        <v>600</v>
      </c>
      <c r="D134" s="641">
        <v>46403.88</v>
      </c>
      <c r="E134" s="644" t="s">
        <v>1832</v>
      </c>
      <c r="F134" s="507" t="s">
        <v>1814</v>
      </c>
      <c r="G134" s="563"/>
      <c r="H134" s="563"/>
    </row>
    <row r="135" spans="1:8" ht="27.75" customHeight="1">
      <c r="A135" s="647">
        <v>7130601965</v>
      </c>
      <c r="B135" s="639" t="s">
        <v>603</v>
      </c>
      <c r="C135" s="640" t="s">
        <v>600</v>
      </c>
      <c r="D135" s="641">
        <v>46403.88</v>
      </c>
      <c r="E135" s="644" t="s">
        <v>301</v>
      </c>
      <c r="F135" s="507" t="s">
        <v>1814</v>
      </c>
      <c r="G135" s="563"/>
      <c r="H135" s="563"/>
    </row>
    <row r="136" spans="1:7" ht="27" customHeight="1">
      <c r="A136" s="647">
        <v>7130610206</v>
      </c>
      <c r="B136" s="639" t="s">
        <v>598</v>
      </c>
      <c r="C136" s="640" t="s">
        <v>600</v>
      </c>
      <c r="D136" s="641">
        <v>76075.03</v>
      </c>
      <c r="E136" s="646" t="s">
        <v>302</v>
      </c>
      <c r="F136" s="506"/>
      <c r="G136" s="15"/>
    </row>
    <row r="137" spans="1:7" ht="25.5">
      <c r="A137" s="647">
        <v>7130620013</v>
      </c>
      <c r="B137" s="639" t="s">
        <v>1233</v>
      </c>
      <c r="C137" s="640" t="s">
        <v>19</v>
      </c>
      <c r="D137" s="641">
        <v>124.12</v>
      </c>
      <c r="E137" s="644" t="s">
        <v>303</v>
      </c>
      <c r="F137" s="506"/>
      <c r="G137" s="15"/>
    </row>
    <row r="138" spans="1:7" ht="24" customHeight="1">
      <c r="A138" s="638">
        <v>7130620049</v>
      </c>
      <c r="B138" s="639" t="s">
        <v>1118</v>
      </c>
      <c r="C138" s="640" t="s">
        <v>907</v>
      </c>
      <c r="D138" s="641">
        <v>69.38</v>
      </c>
      <c r="E138" s="646"/>
      <c r="F138" s="506"/>
      <c r="G138" s="15"/>
    </row>
    <row r="139" spans="1:7" ht="25.5" customHeight="1">
      <c r="A139" s="640">
        <v>7130620133</v>
      </c>
      <c r="B139" s="639" t="s">
        <v>13</v>
      </c>
      <c r="C139" s="640" t="s">
        <v>907</v>
      </c>
      <c r="D139" s="641">
        <v>95.97</v>
      </c>
      <c r="E139" s="646" t="s">
        <v>304</v>
      </c>
      <c r="F139" s="506"/>
      <c r="G139" s="15"/>
    </row>
    <row r="140" spans="1:7" ht="25.5" customHeight="1">
      <c r="A140" s="640">
        <v>7130620140</v>
      </c>
      <c r="B140" s="639" t="s">
        <v>1226</v>
      </c>
      <c r="C140" s="640" t="s">
        <v>907</v>
      </c>
      <c r="D140" s="641">
        <v>95.97</v>
      </c>
      <c r="E140" s="646" t="s">
        <v>305</v>
      </c>
      <c r="F140" s="506"/>
      <c r="G140" s="15"/>
    </row>
    <row r="141" spans="1:7" ht="21" customHeight="1">
      <c r="A141" s="640">
        <v>7130620573</v>
      </c>
      <c r="B141" s="639" t="s">
        <v>306</v>
      </c>
      <c r="C141" s="640" t="s">
        <v>907</v>
      </c>
      <c r="D141" s="641">
        <v>69.38</v>
      </c>
      <c r="E141" s="646" t="s">
        <v>1254</v>
      </c>
      <c r="F141" s="506"/>
      <c r="G141" s="15"/>
    </row>
    <row r="142" spans="1:7" ht="25.5">
      <c r="A142" s="647">
        <v>7130620575</v>
      </c>
      <c r="B142" s="639" t="s">
        <v>1119</v>
      </c>
      <c r="C142" s="640" t="s">
        <v>907</v>
      </c>
      <c r="D142" s="641">
        <v>70.53</v>
      </c>
      <c r="E142" s="644" t="s">
        <v>1255</v>
      </c>
      <c r="F142" s="506"/>
      <c r="G142" s="15"/>
    </row>
    <row r="143" spans="1:7" ht="25.5">
      <c r="A143" s="647">
        <v>7130620577</v>
      </c>
      <c r="B143" s="639" t="s">
        <v>1120</v>
      </c>
      <c r="C143" s="640" t="s">
        <v>907</v>
      </c>
      <c r="D143" s="641">
        <v>70.53</v>
      </c>
      <c r="E143" s="644" t="s">
        <v>1256</v>
      </c>
      <c r="F143" s="506"/>
      <c r="G143" s="15"/>
    </row>
    <row r="144" spans="1:7" ht="25.5">
      <c r="A144" s="647">
        <v>7130620609</v>
      </c>
      <c r="B144" s="639" t="s">
        <v>13</v>
      </c>
      <c r="C144" s="640" t="s">
        <v>907</v>
      </c>
      <c r="D144" s="641">
        <v>69.38</v>
      </c>
      <c r="E144" s="644" t="s">
        <v>1257</v>
      </c>
      <c r="F144" s="506"/>
      <c r="G144" s="15"/>
    </row>
    <row r="145" spans="1:7" ht="25.5">
      <c r="A145" s="647">
        <v>7130620614</v>
      </c>
      <c r="B145" s="639" t="s">
        <v>1226</v>
      </c>
      <c r="C145" s="640" t="s">
        <v>907</v>
      </c>
      <c r="D145" s="641">
        <v>68.22</v>
      </c>
      <c r="E145" s="644" t="s">
        <v>170</v>
      </c>
      <c r="F145" s="506"/>
      <c r="G145" s="15"/>
    </row>
    <row r="146" spans="1:7" ht="25.5">
      <c r="A146" s="647">
        <v>7130620619</v>
      </c>
      <c r="B146" s="639" t="s">
        <v>1227</v>
      </c>
      <c r="C146" s="640" t="s">
        <v>907</v>
      </c>
      <c r="D146" s="641">
        <v>68.22</v>
      </c>
      <c r="E146" s="644" t="s">
        <v>171</v>
      </c>
      <c r="F146" s="506"/>
      <c r="G146" s="15"/>
    </row>
    <row r="147" spans="1:7" ht="25.5">
      <c r="A147" s="647">
        <v>7130620621</v>
      </c>
      <c r="B147" s="639" t="s">
        <v>1121</v>
      </c>
      <c r="C147" s="640" t="s">
        <v>907</v>
      </c>
      <c r="D147" s="641">
        <v>67.06</v>
      </c>
      <c r="E147" s="644" t="s">
        <v>172</v>
      </c>
      <c r="F147" s="506"/>
      <c r="G147" s="15"/>
    </row>
    <row r="148" spans="1:7" ht="25.5">
      <c r="A148" s="647">
        <v>7130620625</v>
      </c>
      <c r="B148" s="639" t="s">
        <v>1228</v>
      </c>
      <c r="C148" s="640" t="s">
        <v>907</v>
      </c>
      <c r="D148" s="641">
        <v>67.06</v>
      </c>
      <c r="E148" s="644" t="s">
        <v>173</v>
      </c>
      <c r="F148" s="506"/>
      <c r="G148" s="15"/>
    </row>
    <row r="149" spans="1:7" ht="25.5">
      <c r="A149" s="647">
        <v>7130620627</v>
      </c>
      <c r="B149" s="639" t="s">
        <v>1229</v>
      </c>
      <c r="C149" s="640" t="s">
        <v>907</v>
      </c>
      <c r="D149" s="641">
        <v>67.06</v>
      </c>
      <c r="E149" s="644" t="s">
        <v>174</v>
      </c>
      <c r="F149" s="506"/>
      <c r="G149" s="15"/>
    </row>
    <row r="150" spans="1:7" ht="25.5">
      <c r="A150" s="647">
        <v>7130620631</v>
      </c>
      <c r="B150" s="639" t="s">
        <v>1230</v>
      </c>
      <c r="C150" s="640" t="s">
        <v>907</v>
      </c>
      <c r="D150" s="641">
        <v>67.06</v>
      </c>
      <c r="E150" s="644" t="s">
        <v>175</v>
      </c>
      <c r="F150" s="506"/>
      <c r="G150" s="15"/>
    </row>
    <row r="151" spans="1:7" ht="25.5">
      <c r="A151" s="647">
        <v>7130620636</v>
      </c>
      <c r="B151" s="639" t="s">
        <v>1123</v>
      </c>
      <c r="C151" s="640" t="s">
        <v>907</v>
      </c>
      <c r="D151" s="641">
        <v>67.06</v>
      </c>
      <c r="E151" s="644" t="s">
        <v>176</v>
      </c>
      <c r="F151" s="506"/>
      <c r="G151" s="15"/>
    </row>
    <row r="152" spans="1:7" ht="25.5">
      <c r="A152" s="647">
        <v>7130620637</v>
      </c>
      <c r="B152" s="639" t="s">
        <v>1122</v>
      </c>
      <c r="C152" s="640" t="s">
        <v>907</v>
      </c>
      <c r="D152" s="641">
        <v>67.06</v>
      </c>
      <c r="E152" s="644" t="s">
        <v>177</v>
      </c>
      <c r="F152" s="506"/>
      <c r="G152" s="15"/>
    </row>
    <row r="153" spans="1:7" ht="25.5">
      <c r="A153" s="647">
        <v>7130620713</v>
      </c>
      <c r="B153" s="639" t="s">
        <v>1124</v>
      </c>
      <c r="C153" s="640" t="s">
        <v>907</v>
      </c>
      <c r="D153" s="641">
        <v>67.06</v>
      </c>
      <c r="E153" s="644" t="s">
        <v>178</v>
      </c>
      <c r="F153" s="506"/>
      <c r="G153" s="15"/>
    </row>
    <row r="154" spans="1:7" ht="25.5">
      <c r="A154" s="647">
        <v>7130620716</v>
      </c>
      <c r="B154" s="639" t="s">
        <v>1125</v>
      </c>
      <c r="C154" s="640" t="s">
        <v>907</v>
      </c>
      <c r="D154" s="641">
        <v>67.06</v>
      </c>
      <c r="E154" s="644" t="s">
        <v>179</v>
      </c>
      <c r="F154" s="506"/>
      <c r="G154" s="15"/>
    </row>
    <row r="155" spans="1:9" ht="25.5">
      <c r="A155" s="647">
        <v>7130620719</v>
      </c>
      <c r="B155" s="639" t="s">
        <v>1126</v>
      </c>
      <c r="C155" s="640" t="s">
        <v>907</v>
      </c>
      <c r="D155" s="641">
        <v>67.06</v>
      </c>
      <c r="E155" s="644" t="s">
        <v>180</v>
      </c>
      <c r="F155" s="506"/>
      <c r="G155" s="15"/>
      <c r="H155" s="33"/>
      <c r="I155" s="33"/>
    </row>
    <row r="156" spans="1:9" ht="25.5">
      <c r="A156" s="647">
        <v>7130620829</v>
      </c>
      <c r="B156" s="639" t="s">
        <v>1127</v>
      </c>
      <c r="C156" s="640" t="s">
        <v>907</v>
      </c>
      <c r="D156" s="641">
        <v>67.06</v>
      </c>
      <c r="E156" s="644" t="s">
        <v>181</v>
      </c>
      <c r="F156" s="506"/>
      <c r="G156" s="15"/>
      <c r="H156" s="33"/>
      <c r="I156" s="33"/>
    </row>
    <row r="157" spans="1:9" ht="18.75" customHeight="1">
      <c r="A157" s="647">
        <v>7130621892</v>
      </c>
      <c r="B157" s="639" t="s">
        <v>1234</v>
      </c>
      <c r="C157" s="640" t="s">
        <v>19</v>
      </c>
      <c r="D157" s="641">
        <v>415.5</v>
      </c>
      <c r="E157" s="646" t="s">
        <v>182</v>
      </c>
      <c r="F157" s="506"/>
      <c r="G157" s="15"/>
      <c r="H157" s="33"/>
      <c r="I157" s="33"/>
    </row>
    <row r="158" spans="1:7" ht="18.75" customHeight="1">
      <c r="A158" s="645">
        <v>7130622922</v>
      </c>
      <c r="B158" s="644" t="s">
        <v>1128</v>
      </c>
      <c r="C158" s="640" t="s">
        <v>907</v>
      </c>
      <c r="D158" s="641">
        <v>149.07</v>
      </c>
      <c r="E158" s="646" t="s">
        <v>183</v>
      </c>
      <c r="F158" s="506"/>
      <c r="G158" s="15"/>
    </row>
    <row r="159" spans="1:8" ht="25.5">
      <c r="A159" s="643">
        <v>7130640027</v>
      </c>
      <c r="B159" s="660" t="s">
        <v>1724</v>
      </c>
      <c r="C159" s="661" t="s">
        <v>983</v>
      </c>
      <c r="D159" s="641">
        <v>1079.16</v>
      </c>
      <c r="E159" s="644" t="s">
        <v>1203</v>
      </c>
      <c r="F159" s="506"/>
      <c r="G159" s="15"/>
      <c r="H159" s="24"/>
    </row>
    <row r="160" spans="1:8" ht="18.75" customHeight="1">
      <c r="A160" s="643">
        <v>7130640028</v>
      </c>
      <c r="B160" s="662" t="s">
        <v>882</v>
      </c>
      <c r="C160" s="661" t="s">
        <v>996</v>
      </c>
      <c r="D160" s="641">
        <v>935.03</v>
      </c>
      <c r="E160" s="646" t="s">
        <v>1204</v>
      </c>
      <c r="F160" s="506"/>
      <c r="G160" s="15"/>
      <c r="H160" s="24"/>
    </row>
    <row r="161" spans="1:8" ht="27.75" customHeight="1">
      <c r="A161" s="638">
        <v>7130640029</v>
      </c>
      <c r="B161" s="662" t="s">
        <v>660</v>
      </c>
      <c r="C161" s="661" t="s">
        <v>903</v>
      </c>
      <c r="D161" s="641">
        <v>3618.29</v>
      </c>
      <c r="E161" s="644" t="s">
        <v>1205</v>
      </c>
      <c r="F161" s="506"/>
      <c r="G161" s="15"/>
      <c r="H161" s="24"/>
    </row>
    <row r="162" spans="1:8" ht="27.75" customHeight="1">
      <c r="A162" s="638">
        <v>7130640030</v>
      </c>
      <c r="B162" s="663" t="s">
        <v>1224</v>
      </c>
      <c r="C162" s="664" t="s">
        <v>903</v>
      </c>
      <c r="D162" s="641">
        <v>3618.67</v>
      </c>
      <c r="E162" s="644"/>
      <c r="F162" s="506"/>
      <c r="G162" s="604" t="s">
        <v>1718</v>
      </c>
      <c r="H162" s="24"/>
    </row>
    <row r="163" spans="1:8" ht="27.75" customHeight="1">
      <c r="A163" s="643">
        <v>7130640031</v>
      </c>
      <c r="B163" s="639" t="s">
        <v>1875</v>
      </c>
      <c r="C163" s="645" t="s">
        <v>926</v>
      </c>
      <c r="D163" s="641">
        <v>2617</v>
      </c>
      <c r="E163" s="646"/>
      <c r="F163" s="506"/>
      <c r="G163" s="603" t="s">
        <v>1874</v>
      </c>
      <c r="H163" s="24"/>
    </row>
    <row r="164" spans="1:8" ht="27.75" customHeight="1">
      <c r="A164" s="643">
        <v>7130640036</v>
      </c>
      <c r="B164" s="639" t="s">
        <v>1876</v>
      </c>
      <c r="C164" s="645" t="s">
        <v>926</v>
      </c>
      <c r="D164" s="641">
        <v>5032</v>
      </c>
      <c r="E164" s="644" t="s">
        <v>1206</v>
      </c>
      <c r="F164" s="506"/>
      <c r="G164" s="15"/>
      <c r="H164" s="24"/>
    </row>
    <row r="165" spans="1:8" ht="27.75" customHeight="1">
      <c r="A165" s="643">
        <v>7130640037</v>
      </c>
      <c r="B165" s="665" t="s">
        <v>820</v>
      </c>
      <c r="C165" s="666" t="s">
        <v>1885</v>
      </c>
      <c r="D165" s="641">
        <v>1326.73</v>
      </c>
      <c r="E165" s="644"/>
      <c r="F165" s="506"/>
      <c r="G165" s="604" t="s">
        <v>1718</v>
      </c>
      <c r="H165" s="24"/>
    </row>
    <row r="166" spans="1:7" ht="27.75" customHeight="1">
      <c r="A166" s="643">
        <v>7130640038</v>
      </c>
      <c r="B166" s="644" t="s">
        <v>820</v>
      </c>
      <c r="C166" s="640" t="s">
        <v>455</v>
      </c>
      <c r="D166" s="641">
        <v>1036.11</v>
      </c>
      <c r="E166" s="644" t="s">
        <v>1884</v>
      </c>
      <c r="F166" s="506"/>
      <c r="G166" s="603" t="s">
        <v>1883</v>
      </c>
    </row>
    <row r="167" spans="1:7" ht="19.5" customHeight="1">
      <c r="A167" s="643">
        <v>7130640171</v>
      </c>
      <c r="B167" s="644" t="s">
        <v>1873</v>
      </c>
      <c r="C167" s="640" t="s">
        <v>926</v>
      </c>
      <c r="D167" s="641">
        <v>104.16</v>
      </c>
      <c r="E167" s="644"/>
      <c r="F167" s="506"/>
      <c r="G167" s="604" t="s">
        <v>1718</v>
      </c>
    </row>
    <row r="168" spans="1:7" ht="18.75" customHeight="1">
      <c r="A168" s="645">
        <v>7130641396</v>
      </c>
      <c r="B168" s="644" t="s">
        <v>1129</v>
      </c>
      <c r="C168" s="645" t="s">
        <v>1130</v>
      </c>
      <c r="D168" s="641">
        <v>215.22</v>
      </c>
      <c r="E168" s="646" t="s">
        <v>1207</v>
      </c>
      <c r="F168" s="506"/>
      <c r="G168" s="15"/>
    </row>
    <row r="169" spans="1:7" ht="51">
      <c r="A169" s="667">
        <v>7130642039</v>
      </c>
      <c r="B169" s="639" t="s">
        <v>1051</v>
      </c>
      <c r="C169" s="640" t="s">
        <v>19</v>
      </c>
      <c r="D169" s="641">
        <v>849.08</v>
      </c>
      <c r="E169" s="646" t="s">
        <v>1208</v>
      </c>
      <c r="F169" s="506"/>
      <c r="G169" s="15"/>
    </row>
    <row r="170" spans="1:7" ht="25.5">
      <c r="A170" s="667">
        <v>7130642041</v>
      </c>
      <c r="B170" s="639" t="s">
        <v>839</v>
      </c>
      <c r="C170" s="640" t="s">
        <v>19</v>
      </c>
      <c r="D170" s="641">
        <v>4315.55</v>
      </c>
      <c r="E170" s="644" t="s">
        <v>85</v>
      </c>
      <c r="F170" s="506"/>
      <c r="G170" s="15"/>
    </row>
    <row r="171" spans="1:12" ht="80.25" customHeight="1">
      <c r="A171" s="643">
        <v>7130650001</v>
      </c>
      <c r="B171" s="644" t="s">
        <v>1331</v>
      </c>
      <c r="C171" s="645" t="s">
        <v>1332</v>
      </c>
      <c r="D171" s="641">
        <v>2024.88</v>
      </c>
      <c r="E171" s="654"/>
      <c r="F171" s="325"/>
      <c r="G171" s="15"/>
      <c r="H171" s="24"/>
      <c r="L171" s="72"/>
    </row>
    <row r="172" spans="1:8" ht="27" customHeight="1">
      <c r="A172" s="643">
        <v>7130670027</v>
      </c>
      <c r="B172" s="653" t="s">
        <v>1286</v>
      </c>
      <c r="C172" s="645" t="s">
        <v>996</v>
      </c>
      <c r="D172" s="641">
        <v>133.73</v>
      </c>
      <c r="E172" s="654"/>
      <c r="F172" s="325"/>
      <c r="G172" s="15"/>
      <c r="H172" s="24"/>
    </row>
    <row r="173" spans="1:8" ht="41.25" customHeight="1">
      <c r="A173" s="643">
        <v>7130797532</v>
      </c>
      <c r="B173" s="644" t="s">
        <v>529</v>
      </c>
      <c r="C173" s="645" t="s">
        <v>996</v>
      </c>
      <c r="D173" s="641">
        <v>590.97</v>
      </c>
      <c r="E173" s="644" t="s">
        <v>86</v>
      </c>
      <c r="F173" s="506"/>
      <c r="G173" s="15"/>
      <c r="H173" s="24"/>
    </row>
    <row r="174" spans="1:8" ht="41.25" customHeight="1">
      <c r="A174" s="643">
        <v>7130797533</v>
      </c>
      <c r="B174" s="644" t="s">
        <v>27</v>
      </c>
      <c r="C174" s="645" t="s">
        <v>996</v>
      </c>
      <c r="D174" s="641">
        <v>428.94</v>
      </c>
      <c r="E174" s="646" t="s">
        <v>87</v>
      </c>
      <c r="F174" s="506"/>
      <c r="G174" s="15"/>
      <c r="H174" s="24"/>
    </row>
    <row r="175" spans="1:7" ht="18" customHeight="1">
      <c r="A175" s="647">
        <v>7130800012</v>
      </c>
      <c r="B175" s="639" t="s">
        <v>606</v>
      </c>
      <c r="C175" s="640" t="s">
        <v>926</v>
      </c>
      <c r="D175" s="641">
        <v>2255.2</v>
      </c>
      <c r="E175" s="646" t="s">
        <v>88</v>
      </c>
      <c r="F175" s="506"/>
      <c r="G175" s="15"/>
    </row>
    <row r="176" spans="1:7" ht="18" customHeight="1">
      <c r="A176" s="643">
        <v>7130800014</v>
      </c>
      <c r="B176" s="644" t="s">
        <v>1103</v>
      </c>
      <c r="C176" s="645" t="s">
        <v>926</v>
      </c>
      <c r="D176" s="641"/>
      <c r="E176" s="646"/>
      <c r="F176" s="506"/>
      <c r="G176" s="600" t="s">
        <v>1829</v>
      </c>
    </row>
    <row r="177" spans="1:7" ht="18" customHeight="1">
      <c r="A177" s="647">
        <v>7130800033</v>
      </c>
      <c r="B177" s="639" t="s">
        <v>477</v>
      </c>
      <c r="C177" s="640" t="s">
        <v>926</v>
      </c>
      <c r="D177" s="641">
        <v>4402.65</v>
      </c>
      <c r="E177" s="646" t="s">
        <v>89</v>
      </c>
      <c r="F177" s="506"/>
      <c r="G177" s="15"/>
    </row>
    <row r="178" spans="1:7" ht="25.5">
      <c r="A178" s="645">
        <v>7130800068</v>
      </c>
      <c r="B178" s="644" t="s">
        <v>1102</v>
      </c>
      <c r="C178" s="645" t="s">
        <v>926</v>
      </c>
      <c r="D178" s="641"/>
      <c r="E178" s="644" t="s">
        <v>90</v>
      </c>
      <c r="F178" s="506"/>
      <c r="G178" s="600" t="s">
        <v>1829</v>
      </c>
    </row>
    <row r="179" spans="1:12" ht="14.25">
      <c r="A179" s="647">
        <v>7130800672</v>
      </c>
      <c r="B179" s="639" t="s">
        <v>522</v>
      </c>
      <c r="C179" s="640" t="s">
        <v>926</v>
      </c>
      <c r="D179" s="641"/>
      <c r="E179" s="644" t="s">
        <v>1871</v>
      </c>
      <c r="F179" s="506"/>
      <c r="G179" s="600" t="s">
        <v>1829</v>
      </c>
      <c r="L179" s="72"/>
    </row>
    <row r="180" spans="1:7" ht="22.5" customHeight="1">
      <c r="A180" s="647">
        <v>7130810005</v>
      </c>
      <c r="B180" s="639" t="s">
        <v>1235</v>
      </c>
      <c r="C180" s="640" t="s">
        <v>19</v>
      </c>
      <c r="D180" s="641">
        <v>87.31</v>
      </c>
      <c r="E180" s="646" t="s">
        <v>91</v>
      </c>
      <c r="F180" s="506"/>
      <c r="G180" s="15"/>
    </row>
    <row r="181" spans="1:7" ht="25.5">
      <c r="A181" s="647">
        <v>7130810006</v>
      </c>
      <c r="B181" s="639" t="s">
        <v>92</v>
      </c>
      <c r="C181" s="640" t="s">
        <v>748</v>
      </c>
      <c r="D181" s="641">
        <v>6872.65</v>
      </c>
      <c r="E181" s="644" t="s">
        <v>92</v>
      </c>
      <c r="F181" s="506"/>
      <c r="G181" s="15"/>
    </row>
    <row r="182" spans="1:7" ht="18.75" customHeight="1">
      <c r="A182" s="647">
        <v>7130810026</v>
      </c>
      <c r="B182" s="639" t="s">
        <v>1236</v>
      </c>
      <c r="C182" s="640" t="s">
        <v>745</v>
      </c>
      <c r="D182" s="641">
        <v>155.99</v>
      </c>
      <c r="E182" s="646" t="s">
        <v>93</v>
      </c>
      <c r="F182" s="506"/>
      <c r="G182" s="15"/>
    </row>
    <row r="183" spans="1:7" ht="18.75" customHeight="1">
      <c r="A183" s="647">
        <v>7130810026</v>
      </c>
      <c r="B183" s="639" t="s">
        <v>1290</v>
      </c>
      <c r="C183" s="640" t="s">
        <v>745</v>
      </c>
      <c r="D183" s="641">
        <v>291.13</v>
      </c>
      <c r="E183" s="646" t="s">
        <v>93</v>
      </c>
      <c r="F183" s="506"/>
      <c r="G183" s="15"/>
    </row>
    <row r="184" spans="1:7" ht="18.75" customHeight="1">
      <c r="A184" s="647">
        <v>7130810060</v>
      </c>
      <c r="B184" s="639" t="s">
        <v>94</v>
      </c>
      <c r="C184" s="640" t="s">
        <v>749</v>
      </c>
      <c r="D184" s="641">
        <v>78</v>
      </c>
      <c r="E184" s="646" t="s">
        <v>94</v>
      </c>
      <c r="F184" s="506"/>
      <c r="G184" s="15"/>
    </row>
    <row r="185" spans="1:7" ht="18.75" customHeight="1">
      <c r="A185" s="643">
        <v>7130810076</v>
      </c>
      <c r="B185" s="639" t="s">
        <v>360</v>
      </c>
      <c r="C185" s="640" t="s">
        <v>749</v>
      </c>
      <c r="D185" s="641">
        <v>70.96</v>
      </c>
      <c r="E185" s="646" t="s">
        <v>1291</v>
      </c>
      <c r="F185" s="506"/>
      <c r="G185" s="15"/>
    </row>
    <row r="186" spans="1:8" ht="18.75" customHeight="1">
      <c r="A186" s="643">
        <v>7130810077</v>
      </c>
      <c r="B186" s="662" t="s">
        <v>1296</v>
      </c>
      <c r="C186" s="668" t="s">
        <v>749</v>
      </c>
      <c r="D186" s="641">
        <v>433.92</v>
      </c>
      <c r="E186" s="646" t="s">
        <v>95</v>
      </c>
      <c r="F186" s="506"/>
      <c r="G186" s="15"/>
      <c r="H186" s="24"/>
    </row>
    <row r="187" spans="1:8" ht="18.75" customHeight="1">
      <c r="A187" s="645">
        <v>7130810102</v>
      </c>
      <c r="B187" s="644" t="s">
        <v>737</v>
      </c>
      <c r="C187" s="668" t="s">
        <v>749</v>
      </c>
      <c r="D187" s="641">
        <v>344.82</v>
      </c>
      <c r="E187" s="646" t="s">
        <v>96</v>
      </c>
      <c r="F187" s="506"/>
      <c r="G187" s="15"/>
      <c r="H187" s="24"/>
    </row>
    <row r="188" spans="1:7" ht="25.5">
      <c r="A188" s="645">
        <v>7130810193</v>
      </c>
      <c r="B188" s="644" t="s">
        <v>1221</v>
      </c>
      <c r="C188" s="668" t="s">
        <v>745</v>
      </c>
      <c r="D188" s="641">
        <v>291.13</v>
      </c>
      <c r="E188" s="644" t="s">
        <v>97</v>
      </c>
      <c r="F188" s="506"/>
      <c r="G188" s="15"/>
    </row>
    <row r="189" spans="1:7" ht="25.5">
      <c r="A189" s="645">
        <v>7130810201</v>
      </c>
      <c r="B189" s="644" t="s">
        <v>1222</v>
      </c>
      <c r="C189" s="668" t="s">
        <v>745</v>
      </c>
      <c r="D189" s="641">
        <v>309.8</v>
      </c>
      <c r="E189" s="644" t="s">
        <v>98</v>
      </c>
      <c r="F189" s="506"/>
      <c r="G189" s="15"/>
    </row>
    <row r="190" spans="1:7" ht="12.75">
      <c r="A190" s="645">
        <v>7130810216</v>
      </c>
      <c r="B190" s="644" t="s">
        <v>1223</v>
      </c>
      <c r="C190" s="668" t="s">
        <v>745</v>
      </c>
      <c r="D190" s="641">
        <v>309.8</v>
      </c>
      <c r="E190" s="644" t="s">
        <v>99</v>
      </c>
      <c r="F190" s="506"/>
      <c r="G190" s="15"/>
    </row>
    <row r="191" spans="1:7" ht="25.5">
      <c r="A191" s="645">
        <v>7130810251</v>
      </c>
      <c r="B191" s="644" t="s">
        <v>355</v>
      </c>
      <c r="C191" s="668" t="s">
        <v>745</v>
      </c>
      <c r="D191" s="641">
        <v>309.8</v>
      </c>
      <c r="E191" s="644" t="s">
        <v>100</v>
      </c>
      <c r="F191" s="506"/>
      <c r="G191" s="15"/>
    </row>
    <row r="192" spans="1:7" ht="17.25" customHeight="1">
      <c r="A192" s="645">
        <v>7130810361</v>
      </c>
      <c r="B192" s="644" t="s">
        <v>356</v>
      </c>
      <c r="C192" s="668" t="s">
        <v>745</v>
      </c>
      <c r="D192" s="641">
        <v>309.8</v>
      </c>
      <c r="E192" s="646" t="s">
        <v>101</v>
      </c>
      <c r="F192" s="506"/>
      <c r="G192" s="15"/>
    </row>
    <row r="193" spans="1:7" ht="17.25" customHeight="1">
      <c r="A193" s="645">
        <v>7130810413</v>
      </c>
      <c r="B193" s="644" t="s">
        <v>357</v>
      </c>
      <c r="C193" s="668" t="s">
        <v>749</v>
      </c>
      <c r="D193" s="641">
        <v>623.86</v>
      </c>
      <c r="E193" s="646" t="s">
        <v>102</v>
      </c>
      <c r="F193" s="506"/>
      <c r="G193" s="15"/>
    </row>
    <row r="194" spans="1:7" ht="25.5">
      <c r="A194" s="645">
        <v>7130810441</v>
      </c>
      <c r="B194" s="644" t="s">
        <v>358</v>
      </c>
      <c r="C194" s="668" t="s">
        <v>749</v>
      </c>
      <c r="D194" s="641">
        <v>742.99</v>
      </c>
      <c r="E194" s="644" t="s">
        <v>103</v>
      </c>
      <c r="F194" s="506"/>
      <c r="G194" s="15"/>
    </row>
    <row r="195" spans="1:7" ht="17.25" customHeight="1">
      <c r="A195" s="645">
        <v>7130810461</v>
      </c>
      <c r="B195" s="644" t="s">
        <v>264</v>
      </c>
      <c r="C195" s="668" t="s">
        <v>749</v>
      </c>
      <c r="D195" s="641">
        <v>862.11</v>
      </c>
      <c r="E195" s="646" t="s">
        <v>104</v>
      </c>
      <c r="F195" s="506"/>
      <c r="G195" s="15"/>
    </row>
    <row r="196" spans="1:7" ht="17.25" customHeight="1">
      <c r="A196" s="645">
        <v>7130810495</v>
      </c>
      <c r="B196" s="644" t="s">
        <v>265</v>
      </c>
      <c r="C196" s="668" t="s">
        <v>749</v>
      </c>
      <c r="D196" s="641">
        <v>1057.95</v>
      </c>
      <c r="E196" s="646" t="s">
        <v>105</v>
      </c>
      <c r="F196" s="506"/>
      <c r="G196" s="15"/>
    </row>
    <row r="197" spans="1:7" ht="25.5">
      <c r="A197" s="645">
        <v>7130810509</v>
      </c>
      <c r="B197" s="644" t="s">
        <v>1317</v>
      </c>
      <c r="C197" s="668" t="s">
        <v>749</v>
      </c>
      <c r="D197" s="641">
        <v>1676.77</v>
      </c>
      <c r="E197" s="644" t="s">
        <v>106</v>
      </c>
      <c r="F197" s="506"/>
      <c r="G197" s="15"/>
    </row>
    <row r="198" spans="1:7" ht="17.25" customHeight="1">
      <c r="A198" s="645">
        <v>7130810511</v>
      </c>
      <c r="B198" s="644" t="s">
        <v>1316</v>
      </c>
      <c r="C198" s="668" t="s">
        <v>748</v>
      </c>
      <c r="D198" s="641">
        <v>2508.6</v>
      </c>
      <c r="E198" s="646" t="s">
        <v>107</v>
      </c>
      <c r="F198" s="506"/>
      <c r="G198" s="15"/>
    </row>
    <row r="199" spans="1:7" ht="26.25" customHeight="1">
      <c r="A199" s="645">
        <v>7130810512</v>
      </c>
      <c r="B199" s="644" t="s">
        <v>1318</v>
      </c>
      <c r="C199" s="668" t="s">
        <v>748</v>
      </c>
      <c r="D199" s="641">
        <v>3977.41</v>
      </c>
      <c r="E199" s="644" t="s">
        <v>108</v>
      </c>
      <c r="F199" s="506"/>
      <c r="G199" s="15"/>
    </row>
    <row r="200" spans="1:7" ht="25.5">
      <c r="A200" s="645">
        <v>7130810512</v>
      </c>
      <c r="B200" s="644" t="s">
        <v>1319</v>
      </c>
      <c r="C200" s="668" t="s">
        <v>748</v>
      </c>
      <c r="D200" s="641">
        <v>2889.17</v>
      </c>
      <c r="E200" s="644" t="s">
        <v>108</v>
      </c>
      <c r="F200" s="506"/>
      <c r="G200" s="15"/>
    </row>
    <row r="201" spans="1:7" ht="25.5">
      <c r="A201" s="645">
        <v>7130810512</v>
      </c>
      <c r="B201" s="644" t="s">
        <v>1135</v>
      </c>
      <c r="C201" s="668" t="s">
        <v>748</v>
      </c>
      <c r="D201" s="641">
        <v>4060.2</v>
      </c>
      <c r="E201" s="644" t="s">
        <v>108</v>
      </c>
      <c r="F201" s="506"/>
      <c r="G201" s="15"/>
    </row>
    <row r="202" spans="1:7" ht="25.5">
      <c r="A202" s="645">
        <v>7130810517</v>
      </c>
      <c r="B202" s="644" t="s">
        <v>1136</v>
      </c>
      <c r="C202" s="668" t="s">
        <v>748</v>
      </c>
      <c r="D202" s="641">
        <v>4590.18</v>
      </c>
      <c r="E202" s="644" t="s">
        <v>1177</v>
      </c>
      <c r="F202" s="506"/>
      <c r="G202" s="15"/>
    </row>
    <row r="203" spans="1:7" ht="17.25" customHeight="1">
      <c r="A203" s="645">
        <v>7130810595</v>
      </c>
      <c r="B203" s="644" t="s">
        <v>1137</v>
      </c>
      <c r="C203" s="668" t="s">
        <v>749</v>
      </c>
      <c r="D203" s="641">
        <v>2354.14</v>
      </c>
      <c r="E203" s="646" t="s">
        <v>1178</v>
      </c>
      <c r="F203" s="506"/>
      <c r="G203" s="15"/>
    </row>
    <row r="204" spans="1:7" ht="26.25" customHeight="1">
      <c r="A204" s="645">
        <v>7130810608</v>
      </c>
      <c r="B204" s="644" t="s">
        <v>1138</v>
      </c>
      <c r="C204" s="668" t="s">
        <v>748</v>
      </c>
      <c r="D204" s="641">
        <v>5428.06</v>
      </c>
      <c r="E204" s="644" t="s">
        <v>1179</v>
      </c>
      <c r="F204" s="506"/>
      <c r="G204" s="15"/>
    </row>
    <row r="205" spans="1:7" ht="17.25" customHeight="1">
      <c r="A205" s="645">
        <v>7130810624</v>
      </c>
      <c r="B205" s="644" t="s">
        <v>984</v>
      </c>
      <c r="C205" s="668" t="s">
        <v>749</v>
      </c>
      <c r="D205" s="641">
        <v>93.9</v>
      </c>
      <c r="E205" s="646" t="s">
        <v>1180</v>
      </c>
      <c r="F205" s="506"/>
      <c r="G205" s="15"/>
    </row>
    <row r="206" spans="1:7" ht="12.75" customHeight="1">
      <c r="A206" s="645">
        <v>7130810676</v>
      </c>
      <c r="B206" s="644" t="s">
        <v>1139</v>
      </c>
      <c r="C206" s="668" t="s">
        <v>749</v>
      </c>
      <c r="D206" s="641">
        <v>391.69</v>
      </c>
      <c r="E206" s="646" t="s">
        <v>1181</v>
      </c>
      <c r="F206" s="506"/>
      <c r="G206" s="15"/>
    </row>
    <row r="207" spans="1:7" ht="25.5">
      <c r="A207" s="645">
        <v>7130810679</v>
      </c>
      <c r="B207" s="644" t="s">
        <v>1140</v>
      </c>
      <c r="C207" s="668" t="s">
        <v>749</v>
      </c>
      <c r="D207" s="641">
        <v>296.79</v>
      </c>
      <c r="E207" s="646" t="s">
        <v>1719</v>
      </c>
      <c r="F207" s="506"/>
      <c r="G207" s="15"/>
    </row>
    <row r="208" spans="1:7" ht="25.5">
      <c r="A208" s="645">
        <v>7130810681</v>
      </c>
      <c r="B208" s="644" t="s">
        <v>310</v>
      </c>
      <c r="C208" s="668" t="s">
        <v>748</v>
      </c>
      <c r="D208" s="641">
        <v>3257.64</v>
      </c>
      <c r="E208" s="646" t="s">
        <v>1720</v>
      </c>
      <c r="F208" s="506"/>
      <c r="G208" s="15"/>
    </row>
    <row r="209" spans="1:7" ht="12.75">
      <c r="A209" s="645">
        <v>7130810684</v>
      </c>
      <c r="B209" s="644" t="s">
        <v>1092</v>
      </c>
      <c r="C209" s="668" t="s">
        <v>749</v>
      </c>
      <c r="D209" s="641">
        <v>8537.3</v>
      </c>
      <c r="E209" s="646" t="s">
        <v>1182</v>
      </c>
      <c r="F209" s="506"/>
      <c r="G209" s="15"/>
    </row>
    <row r="210" spans="1:9" ht="12.75">
      <c r="A210" s="645">
        <v>7130810692</v>
      </c>
      <c r="B210" s="644" t="s">
        <v>1141</v>
      </c>
      <c r="C210" s="668" t="s">
        <v>745</v>
      </c>
      <c r="D210" s="641">
        <v>322.98</v>
      </c>
      <c r="E210" s="646" t="s">
        <v>1183</v>
      </c>
      <c r="F210" s="506"/>
      <c r="G210" s="293"/>
      <c r="H210" s="35"/>
      <c r="I210" s="35"/>
    </row>
    <row r="211" spans="1:8" ht="25.5">
      <c r="A211" s="643">
        <v>7130820008</v>
      </c>
      <c r="B211" s="644" t="s">
        <v>489</v>
      </c>
      <c r="C211" s="641" t="s">
        <v>926</v>
      </c>
      <c r="D211" s="641">
        <v>142.14</v>
      </c>
      <c r="E211" s="644" t="s">
        <v>1184</v>
      </c>
      <c r="F211" s="506"/>
      <c r="G211" s="489"/>
      <c r="H211" s="563"/>
    </row>
    <row r="212" spans="1:7" ht="25.5">
      <c r="A212" s="643">
        <v>7130820009</v>
      </c>
      <c r="B212" s="644" t="s">
        <v>488</v>
      </c>
      <c r="C212" s="641" t="s">
        <v>926</v>
      </c>
      <c r="D212" s="641">
        <v>351.44</v>
      </c>
      <c r="E212" s="644" t="s">
        <v>1185</v>
      </c>
      <c r="F212" s="506"/>
      <c r="G212" s="15"/>
    </row>
    <row r="213" spans="1:8" ht="25.5">
      <c r="A213" s="643">
        <v>7130820010</v>
      </c>
      <c r="B213" s="644" t="s">
        <v>562</v>
      </c>
      <c r="C213" s="641" t="s">
        <v>926</v>
      </c>
      <c r="D213" s="641">
        <v>128.45</v>
      </c>
      <c r="E213" s="644" t="s">
        <v>1186</v>
      </c>
      <c r="F213" s="506"/>
      <c r="G213" s="489"/>
      <c r="H213" s="563"/>
    </row>
    <row r="214" spans="1:8" ht="25.5">
      <c r="A214" s="643">
        <v>7130820011</v>
      </c>
      <c r="B214" s="644" t="s">
        <v>487</v>
      </c>
      <c r="C214" s="641" t="s">
        <v>926</v>
      </c>
      <c r="D214" s="641">
        <v>236.53</v>
      </c>
      <c r="E214" s="644" t="s">
        <v>1187</v>
      </c>
      <c r="F214" s="506"/>
      <c r="H214" s="563"/>
    </row>
    <row r="215" spans="1:7" ht="16.5" customHeight="1">
      <c r="A215" s="647">
        <v>7130820018</v>
      </c>
      <c r="B215" s="639" t="s">
        <v>770</v>
      </c>
      <c r="C215" s="640" t="s">
        <v>745</v>
      </c>
      <c r="D215" s="641">
        <v>4.05</v>
      </c>
      <c r="E215" s="646" t="s">
        <v>1188</v>
      </c>
      <c r="F215" s="506"/>
      <c r="G215" s="15"/>
    </row>
    <row r="216" spans="1:7" ht="16.5" customHeight="1">
      <c r="A216" s="638">
        <v>7130820026</v>
      </c>
      <c r="B216" s="639" t="s">
        <v>765</v>
      </c>
      <c r="C216" s="640" t="s">
        <v>996</v>
      </c>
      <c r="D216" s="641">
        <v>448.04</v>
      </c>
      <c r="E216" s="646" t="s">
        <v>1189</v>
      </c>
      <c r="F216" s="506"/>
      <c r="G216" s="15"/>
    </row>
    <row r="217" spans="1:7" ht="16.5" customHeight="1">
      <c r="A217" s="638">
        <v>7130820027</v>
      </c>
      <c r="B217" s="639" t="s">
        <v>766</v>
      </c>
      <c r="C217" s="640" t="s">
        <v>996</v>
      </c>
      <c r="D217" s="641">
        <v>1832.27</v>
      </c>
      <c r="E217" s="646" t="s">
        <v>1190</v>
      </c>
      <c r="F217" s="506"/>
      <c r="G217" s="15"/>
    </row>
    <row r="218" spans="1:8" ht="16.5" customHeight="1">
      <c r="A218" s="655">
        <v>7130820029</v>
      </c>
      <c r="B218" s="653" t="s">
        <v>192</v>
      </c>
      <c r="C218" s="645" t="s">
        <v>926</v>
      </c>
      <c r="D218" s="641">
        <v>32.16</v>
      </c>
      <c r="E218" s="646"/>
      <c r="F218" s="506"/>
      <c r="G218" s="15"/>
      <c r="H218" s="35"/>
    </row>
    <row r="219" spans="1:8" ht="16.5" customHeight="1">
      <c r="A219" s="647">
        <v>7130820030</v>
      </c>
      <c r="B219" s="639" t="s">
        <v>594</v>
      </c>
      <c r="C219" s="640" t="s">
        <v>926</v>
      </c>
      <c r="D219" s="641">
        <v>215.81</v>
      </c>
      <c r="E219" s="646" t="s">
        <v>1191</v>
      </c>
      <c r="F219" s="506"/>
      <c r="G219" s="489"/>
      <c r="H219" s="563"/>
    </row>
    <row r="220" spans="1:8" ht="17.25" customHeight="1">
      <c r="A220" s="647">
        <v>7130820071</v>
      </c>
      <c r="B220" s="639" t="s">
        <v>595</v>
      </c>
      <c r="C220" s="640" t="s">
        <v>926</v>
      </c>
      <c r="D220" s="641">
        <v>43.03</v>
      </c>
      <c r="E220" s="646" t="s">
        <v>366</v>
      </c>
      <c r="F220" s="506"/>
      <c r="G220" s="489"/>
      <c r="H220" s="563"/>
    </row>
    <row r="221" spans="1:7" ht="17.25" customHeight="1">
      <c r="A221" s="647">
        <v>7130820075</v>
      </c>
      <c r="B221" s="639" t="s">
        <v>596</v>
      </c>
      <c r="C221" s="640" t="s">
        <v>926</v>
      </c>
      <c r="D221" s="641">
        <v>217.7</v>
      </c>
      <c r="E221" s="646" t="s">
        <v>1320</v>
      </c>
      <c r="F221" s="506"/>
      <c r="G221" s="15"/>
    </row>
    <row r="222" spans="1:7" ht="25.5">
      <c r="A222" s="647">
        <v>7130820101</v>
      </c>
      <c r="B222" s="639" t="s">
        <v>768</v>
      </c>
      <c r="C222" s="640" t="s">
        <v>926</v>
      </c>
      <c r="D222" s="641">
        <v>11.31</v>
      </c>
      <c r="E222" s="644" t="s">
        <v>1321</v>
      </c>
      <c r="F222" s="506"/>
      <c r="G222" s="15"/>
    </row>
    <row r="223" spans="1:7" ht="25.5">
      <c r="A223" s="647">
        <v>7130820106</v>
      </c>
      <c r="B223" s="639" t="s">
        <v>767</v>
      </c>
      <c r="C223" s="640" t="s">
        <v>926</v>
      </c>
      <c r="D223" s="641">
        <v>12.82</v>
      </c>
      <c r="E223" s="644" t="s">
        <v>740</v>
      </c>
      <c r="F223" s="506"/>
      <c r="G223" s="15"/>
    </row>
    <row r="224" spans="1:7" ht="18" customHeight="1">
      <c r="A224" s="647">
        <v>7130820117</v>
      </c>
      <c r="B224" s="639" t="s">
        <v>769</v>
      </c>
      <c r="C224" s="640" t="s">
        <v>926</v>
      </c>
      <c r="D224" s="641">
        <v>10.78</v>
      </c>
      <c r="E224" s="646" t="s">
        <v>741</v>
      </c>
      <c r="F224" s="506"/>
      <c r="G224" s="15"/>
    </row>
    <row r="225" spans="1:7" ht="18" customHeight="1">
      <c r="A225" s="647">
        <v>7130820155</v>
      </c>
      <c r="B225" s="639" t="s">
        <v>837</v>
      </c>
      <c r="C225" s="640" t="s">
        <v>926</v>
      </c>
      <c r="D225" s="641">
        <v>71.32</v>
      </c>
      <c r="E225" s="646" t="s">
        <v>742</v>
      </c>
      <c r="F225" s="506"/>
      <c r="G225" s="15"/>
    </row>
    <row r="226" spans="1:7" ht="18" customHeight="1">
      <c r="A226" s="647">
        <v>7130820158</v>
      </c>
      <c r="B226" s="639" t="s">
        <v>838</v>
      </c>
      <c r="C226" s="640" t="s">
        <v>926</v>
      </c>
      <c r="D226" s="641">
        <v>237.31</v>
      </c>
      <c r="E226" s="646" t="s">
        <v>743</v>
      </c>
      <c r="F226" s="506"/>
      <c r="G226" s="15"/>
    </row>
    <row r="227" spans="1:7" ht="18" customHeight="1">
      <c r="A227" s="647">
        <v>7130820201</v>
      </c>
      <c r="B227" s="639" t="s">
        <v>653</v>
      </c>
      <c r="C227" s="640" t="s">
        <v>926</v>
      </c>
      <c r="D227" s="641">
        <v>35.61</v>
      </c>
      <c r="E227" s="646" t="s">
        <v>744</v>
      </c>
      <c r="F227" s="506"/>
      <c r="G227" s="15"/>
    </row>
    <row r="228" spans="1:7" ht="27.75" customHeight="1">
      <c r="A228" s="647">
        <v>7130820206</v>
      </c>
      <c r="B228" s="639" t="s">
        <v>836</v>
      </c>
      <c r="C228" s="640" t="s">
        <v>926</v>
      </c>
      <c r="D228" s="641">
        <v>35.7</v>
      </c>
      <c r="E228" s="644" t="s">
        <v>8</v>
      </c>
      <c r="F228" s="506"/>
      <c r="G228" s="15"/>
    </row>
    <row r="229" spans="1:7" ht="27.75" customHeight="1">
      <c r="A229" s="647">
        <v>7130820216</v>
      </c>
      <c r="B229" s="639" t="s">
        <v>835</v>
      </c>
      <c r="C229" s="640" t="s">
        <v>926</v>
      </c>
      <c r="D229" s="641">
        <v>40.64</v>
      </c>
      <c r="E229" s="644" t="s">
        <v>1854</v>
      </c>
      <c r="F229" s="506"/>
      <c r="G229" s="15"/>
    </row>
    <row r="230" spans="1:7" ht="18" customHeight="1">
      <c r="A230" s="647">
        <v>7130820241</v>
      </c>
      <c r="B230" s="639" t="s">
        <v>490</v>
      </c>
      <c r="C230" s="640" t="s">
        <v>926</v>
      </c>
      <c r="D230" s="641">
        <v>119.62</v>
      </c>
      <c r="E230" s="646" t="s">
        <v>145</v>
      </c>
      <c r="F230" s="506"/>
      <c r="G230" s="15"/>
    </row>
    <row r="231" spans="1:7" ht="18" customHeight="1">
      <c r="A231" s="647">
        <v>7130820248</v>
      </c>
      <c r="B231" s="639" t="s">
        <v>491</v>
      </c>
      <c r="C231" s="640" t="s">
        <v>926</v>
      </c>
      <c r="D231" s="641">
        <v>248.51</v>
      </c>
      <c r="E231" s="646" t="s">
        <v>146</v>
      </c>
      <c r="F231" s="506"/>
      <c r="G231" s="15"/>
    </row>
    <row r="232" spans="1:7" ht="28.5" customHeight="1">
      <c r="A232" s="669">
        <v>7130820312</v>
      </c>
      <c r="B232" s="639" t="s">
        <v>728</v>
      </c>
      <c r="C232" s="640" t="s">
        <v>748</v>
      </c>
      <c r="D232" s="641">
        <v>2129.35</v>
      </c>
      <c r="E232" s="644" t="s">
        <v>147</v>
      </c>
      <c r="F232" s="506"/>
      <c r="G232" s="15"/>
    </row>
    <row r="233" spans="1:7" ht="19.5" customHeight="1">
      <c r="A233" s="647">
        <v>7130830006</v>
      </c>
      <c r="B233" s="639" t="s">
        <v>652</v>
      </c>
      <c r="C233" s="640" t="s">
        <v>907</v>
      </c>
      <c r="D233" s="641">
        <v>155.45</v>
      </c>
      <c r="E233" s="646" t="s">
        <v>148</v>
      </c>
      <c r="F233" s="506"/>
      <c r="G233" s="15"/>
    </row>
    <row r="234" spans="1:7" ht="29.25" customHeight="1">
      <c r="A234" s="647">
        <v>7130830025</v>
      </c>
      <c r="B234" s="639" t="s">
        <v>591</v>
      </c>
      <c r="C234" s="640" t="s">
        <v>14</v>
      </c>
      <c r="D234" s="641"/>
      <c r="E234" s="646" t="s">
        <v>149</v>
      </c>
      <c r="F234" s="506"/>
      <c r="G234" s="600" t="s">
        <v>1829</v>
      </c>
    </row>
    <row r="235" spans="1:7" ht="28.5" customHeight="1">
      <c r="A235" s="647">
        <v>7130830026</v>
      </c>
      <c r="B235" s="639" t="s">
        <v>592</v>
      </c>
      <c r="C235" s="640" t="s">
        <v>14</v>
      </c>
      <c r="D235" s="641"/>
      <c r="E235" s="646" t="s">
        <v>150</v>
      </c>
      <c r="F235" s="506"/>
      <c r="G235" s="600" t="s">
        <v>1829</v>
      </c>
    </row>
    <row r="236" spans="1:7" ht="30" customHeight="1">
      <c r="A236" s="647">
        <v>7130830027</v>
      </c>
      <c r="B236" s="639" t="s">
        <v>593</v>
      </c>
      <c r="C236" s="640" t="s">
        <v>14</v>
      </c>
      <c r="D236" s="641"/>
      <c r="E236" s="646" t="s">
        <v>151</v>
      </c>
      <c r="F236" s="506"/>
      <c r="G236" s="600" t="s">
        <v>1829</v>
      </c>
    </row>
    <row r="237" spans="1:7" ht="27" customHeight="1">
      <c r="A237" s="647">
        <v>7130830028</v>
      </c>
      <c r="B237" s="639" t="s">
        <v>588</v>
      </c>
      <c r="C237" s="640" t="s">
        <v>14</v>
      </c>
      <c r="D237" s="641"/>
      <c r="E237" s="646" t="s">
        <v>152</v>
      </c>
      <c r="F237" s="506"/>
      <c r="G237" s="600" t="s">
        <v>1829</v>
      </c>
    </row>
    <row r="238" spans="1:7" ht="27.75" customHeight="1">
      <c r="A238" s="638">
        <v>7130830050</v>
      </c>
      <c r="B238" s="639" t="s">
        <v>1192</v>
      </c>
      <c r="C238" s="640" t="s">
        <v>926</v>
      </c>
      <c r="D238" s="641">
        <v>36.14</v>
      </c>
      <c r="E238" s="644" t="s">
        <v>1008</v>
      </c>
      <c r="F238" s="506"/>
      <c r="G238" s="15"/>
    </row>
    <row r="239" spans="1:7" ht="25.5">
      <c r="A239" s="638">
        <v>7130830051</v>
      </c>
      <c r="B239" s="639" t="s">
        <v>1193</v>
      </c>
      <c r="C239" s="640" t="s">
        <v>926</v>
      </c>
      <c r="D239" s="641">
        <v>141.07</v>
      </c>
      <c r="E239" s="644" t="s">
        <v>1009</v>
      </c>
      <c r="F239" s="506"/>
      <c r="G239" s="15"/>
    </row>
    <row r="240" spans="1:7" ht="18.75" customHeight="1">
      <c r="A240" s="648">
        <v>7130830052</v>
      </c>
      <c r="B240" s="639" t="s">
        <v>1194</v>
      </c>
      <c r="C240" s="640" t="s">
        <v>926</v>
      </c>
      <c r="D240" s="641">
        <v>650.6</v>
      </c>
      <c r="E240" s="646"/>
      <c r="F240" s="506"/>
      <c r="G240" s="15"/>
    </row>
    <row r="241" spans="1:8" ht="29.25" customHeight="1">
      <c r="A241" s="640">
        <v>7130830053</v>
      </c>
      <c r="B241" s="639" t="s">
        <v>585</v>
      </c>
      <c r="C241" s="640" t="s">
        <v>14</v>
      </c>
      <c r="D241" s="641">
        <v>14066.3</v>
      </c>
      <c r="E241" s="644" t="s">
        <v>1010</v>
      </c>
      <c r="F241" s="507" t="s">
        <v>1814</v>
      </c>
      <c r="G241" s="489"/>
      <c r="H241" s="563"/>
    </row>
    <row r="242" spans="1:7" ht="18.75" customHeight="1">
      <c r="A242" s="648">
        <v>7130830054</v>
      </c>
      <c r="B242" s="639" t="s">
        <v>1195</v>
      </c>
      <c r="C242" s="640" t="s">
        <v>926</v>
      </c>
      <c r="D242" s="641">
        <v>379.95</v>
      </c>
      <c r="E242" s="646"/>
      <c r="F242" s="506"/>
      <c r="G242" s="15"/>
    </row>
    <row r="243" spans="1:8" ht="30" customHeight="1">
      <c r="A243" s="640">
        <v>7130830055</v>
      </c>
      <c r="B243" s="639" t="s">
        <v>586</v>
      </c>
      <c r="C243" s="640" t="s">
        <v>14</v>
      </c>
      <c r="D243" s="641">
        <v>20604.63</v>
      </c>
      <c r="E243" s="644" t="s">
        <v>1110</v>
      </c>
      <c r="F243" s="507" t="s">
        <v>1814</v>
      </c>
      <c r="G243" s="489"/>
      <c r="H243" s="563"/>
    </row>
    <row r="244" spans="1:7" ht="18.75" customHeight="1">
      <c r="A244" s="648">
        <v>7130830056</v>
      </c>
      <c r="B244" s="639" t="s">
        <v>1196</v>
      </c>
      <c r="C244" s="640" t="s">
        <v>926</v>
      </c>
      <c r="D244" s="641">
        <v>379.95</v>
      </c>
      <c r="E244" s="646"/>
      <c r="F244" s="506"/>
      <c r="G244" s="15"/>
    </row>
    <row r="245" spans="1:8" ht="29.25" customHeight="1">
      <c r="A245" s="647">
        <v>7130830057</v>
      </c>
      <c r="B245" s="639" t="s">
        <v>587</v>
      </c>
      <c r="C245" s="640" t="s">
        <v>14</v>
      </c>
      <c r="D245" s="641">
        <v>33948.58</v>
      </c>
      <c r="E245" s="644" t="s">
        <v>1111</v>
      </c>
      <c r="F245" s="507" t="s">
        <v>1814</v>
      </c>
      <c r="G245" s="489"/>
      <c r="H245" s="563"/>
    </row>
    <row r="246" spans="1:7" ht="28.5" customHeight="1">
      <c r="A246" s="648">
        <v>7130830058</v>
      </c>
      <c r="B246" s="639" t="s">
        <v>824</v>
      </c>
      <c r="C246" s="640" t="s">
        <v>926</v>
      </c>
      <c r="D246" s="641">
        <v>193.15</v>
      </c>
      <c r="E246" s="654"/>
      <c r="F246" s="325"/>
      <c r="G246" s="15"/>
    </row>
    <row r="247" spans="1:8" ht="28.5" customHeight="1">
      <c r="A247" s="647">
        <v>7130830060</v>
      </c>
      <c r="B247" s="639" t="s">
        <v>588</v>
      </c>
      <c r="C247" s="640" t="s">
        <v>14</v>
      </c>
      <c r="D247" s="641">
        <v>50185.79</v>
      </c>
      <c r="E247" s="644" t="s">
        <v>1112</v>
      </c>
      <c r="F247" s="507" t="s">
        <v>1814</v>
      </c>
      <c r="G247" s="489"/>
      <c r="H247" s="122"/>
    </row>
    <row r="248" spans="1:8" ht="27" customHeight="1">
      <c r="A248" s="647">
        <v>7130830063</v>
      </c>
      <c r="B248" s="639" t="s">
        <v>589</v>
      </c>
      <c r="C248" s="640" t="s">
        <v>14</v>
      </c>
      <c r="D248" s="641">
        <v>66185.04</v>
      </c>
      <c r="E248" s="644" t="s">
        <v>1113</v>
      </c>
      <c r="F248" s="507" t="s">
        <v>1814</v>
      </c>
      <c r="G248" s="489"/>
      <c r="H248" s="122"/>
    </row>
    <row r="249" spans="1:8" ht="28.5" customHeight="1">
      <c r="A249" s="640">
        <v>7130830070</v>
      </c>
      <c r="B249" s="639" t="s">
        <v>590</v>
      </c>
      <c r="C249" s="640" t="s">
        <v>14</v>
      </c>
      <c r="D249" s="641">
        <v>147387.66</v>
      </c>
      <c r="E249" s="644" t="s">
        <v>1114</v>
      </c>
      <c r="F249" s="507" t="s">
        <v>1814</v>
      </c>
      <c r="G249" s="489"/>
      <c r="H249" s="563"/>
    </row>
    <row r="250" spans="1:7" ht="28.5" customHeight="1">
      <c r="A250" s="647">
        <v>7130830084</v>
      </c>
      <c r="B250" s="639" t="s">
        <v>589</v>
      </c>
      <c r="C250" s="640" t="s">
        <v>14</v>
      </c>
      <c r="D250" s="641"/>
      <c r="E250" s="646" t="s">
        <v>1115</v>
      </c>
      <c r="F250" s="506"/>
      <c r="G250" s="600" t="s">
        <v>1829</v>
      </c>
    </row>
    <row r="251" spans="1:7" ht="25.5">
      <c r="A251" s="647">
        <v>7130830585</v>
      </c>
      <c r="B251" s="639" t="s">
        <v>826</v>
      </c>
      <c r="C251" s="640" t="s">
        <v>926</v>
      </c>
      <c r="D251" s="641">
        <v>266.98</v>
      </c>
      <c r="E251" s="644" t="s">
        <v>1116</v>
      </c>
      <c r="F251" s="506"/>
      <c r="G251" s="15"/>
    </row>
    <row r="252" spans="1:7" ht="25.5">
      <c r="A252" s="647">
        <v>7130830586</v>
      </c>
      <c r="B252" s="639" t="s">
        <v>827</v>
      </c>
      <c r="C252" s="640" t="s">
        <v>926</v>
      </c>
      <c r="D252" s="641">
        <v>213.35</v>
      </c>
      <c r="E252" s="644" t="s">
        <v>1117</v>
      </c>
      <c r="F252" s="506"/>
      <c r="G252" s="15"/>
    </row>
    <row r="253" spans="1:7" ht="25.5">
      <c r="A253" s="638">
        <v>7130830586</v>
      </c>
      <c r="B253" s="639" t="s">
        <v>828</v>
      </c>
      <c r="C253" s="640" t="s">
        <v>926</v>
      </c>
      <c r="D253" s="641">
        <v>312.45</v>
      </c>
      <c r="E253" s="644" t="s">
        <v>1117</v>
      </c>
      <c r="F253" s="506"/>
      <c r="G253" s="15"/>
    </row>
    <row r="254" spans="1:7" ht="27" customHeight="1">
      <c r="A254" s="647">
        <v>7130830603</v>
      </c>
      <c r="B254" s="639" t="s">
        <v>825</v>
      </c>
      <c r="C254" s="640" t="s">
        <v>926</v>
      </c>
      <c r="D254" s="641">
        <v>283.36</v>
      </c>
      <c r="E254" s="644" t="s">
        <v>1826</v>
      </c>
      <c r="F254" s="506"/>
      <c r="G254" s="15"/>
    </row>
    <row r="255" spans="1:7" ht="27.75" customHeight="1">
      <c r="A255" s="647">
        <v>7130830854</v>
      </c>
      <c r="B255" s="639" t="s">
        <v>829</v>
      </c>
      <c r="C255" s="640" t="s">
        <v>926</v>
      </c>
      <c r="D255" s="641">
        <v>29.14</v>
      </c>
      <c r="E255" s="644" t="s">
        <v>1887</v>
      </c>
      <c r="F255" s="506"/>
      <c r="G255" s="15"/>
    </row>
    <row r="256" spans="1:7" ht="25.5">
      <c r="A256" s="640">
        <v>7130830971</v>
      </c>
      <c r="B256" s="670" t="s">
        <v>830</v>
      </c>
      <c r="C256" s="640" t="s">
        <v>926</v>
      </c>
      <c r="D256" s="641">
        <v>218.02</v>
      </c>
      <c r="E256" s="644" t="s">
        <v>1888</v>
      </c>
      <c r="F256" s="506"/>
      <c r="G256" s="15"/>
    </row>
    <row r="257" spans="1:7" ht="25.5">
      <c r="A257" s="647">
        <v>7130840021</v>
      </c>
      <c r="B257" s="639" t="s">
        <v>956</v>
      </c>
      <c r="C257" s="640" t="s">
        <v>926</v>
      </c>
      <c r="D257" s="641">
        <v>4545.92</v>
      </c>
      <c r="E257" s="644" t="s">
        <v>242</v>
      </c>
      <c r="F257" s="506"/>
      <c r="G257" s="584"/>
    </row>
    <row r="258" spans="1:8" ht="28.5" customHeight="1">
      <c r="A258" s="647">
        <v>7130840029</v>
      </c>
      <c r="B258" s="639" t="s">
        <v>957</v>
      </c>
      <c r="C258" s="640" t="s">
        <v>926</v>
      </c>
      <c r="D258" s="641">
        <v>504.66</v>
      </c>
      <c r="E258" s="644" t="s">
        <v>1889</v>
      </c>
      <c r="F258" s="506"/>
      <c r="G258" s="595"/>
      <c r="H258" s="595"/>
    </row>
    <row r="259" spans="1:8" ht="28.5" customHeight="1">
      <c r="A259" s="647">
        <v>7130850198</v>
      </c>
      <c r="B259" s="671" t="s">
        <v>1385</v>
      </c>
      <c r="C259" s="640" t="s">
        <v>907</v>
      </c>
      <c r="D259" s="641">
        <v>82.25</v>
      </c>
      <c r="E259" s="644"/>
      <c r="F259" s="506"/>
      <c r="G259" s="604" t="s">
        <v>1718</v>
      </c>
      <c r="H259" s="595"/>
    </row>
    <row r="260" spans="1:7" ht="29.25" customHeight="1">
      <c r="A260" s="647">
        <v>7130850201</v>
      </c>
      <c r="B260" s="672" t="s">
        <v>478</v>
      </c>
      <c r="C260" s="647" t="s">
        <v>748</v>
      </c>
      <c r="D260" s="641">
        <v>4590.18</v>
      </c>
      <c r="E260" s="644" t="s">
        <v>243</v>
      </c>
      <c r="F260" s="506"/>
      <c r="G260" s="15"/>
    </row>
    <row r="261" spans="1:7" ht="27" customHeight="1">
      <c r="A261" s="647">
        <v>7130850201</v>
      </c>
      <c r="B261" s="672" t="s">
        <v>479</v>
      </c>
      <c r="C261" s="647" t="s">
        <v>749</v>
      </c>
      <c r="D261" s="641">
        <v>4434.72</v>
      </c>
      <c r="E261" s="644" t="s">
        <v>243</v>
      </c>
      <c r="F261" s="506"/>
      <c r="G261" s="15"/>
    </row>
    <row r="262" spans="1:7" ht="18.75" customHeight="1">
      <c r="A262" s="647">
        <v>7130860017</v>
      </c>
      <c r="B262" s="672" t="s">
        <v>480</v>
      </c>
      <c r="C262" s="647" t="s">
        <v>749</v>
      </c>
      <c r="D262" s="641">
        <v>105.19</v>
      </c>
      <c r="E262" s="646" t="s">
        <v>244</v>
      </c>
      <c r="F262" s="506"/>
      <c r="G262" s="15"/>
    </row>
    <row r="263" spans="1:7" ht="25.5">
      <c r="A263" s="647">
        <v>7130860032</v>
      </c>
      <c r="B263" s="639" t="s">
        <v>481</v>
      </c>
      <c r="C263" s="640" t="s">
        <v>926</v>
      </c>
      <c r="D263" s="641">
        <v>441.23</v>
      </c>
      <c r="E263" s="644" t="s">
        <v>1827</v>
      </c>
      <c r="F263" s="506"/>
      <c r="G263" s="15"/>
    </row>
    <row r="264" spans="1:7" ht="25.5">
      <c r="A264" s="647">
        <v>7130860033</v>
      </c>
      <c r="B264" s="639" t="s">
        <v>482</v>
      </c>
      <c r="C264" s="640" t="s">
        <v>926</v>
      </c>
      <c r="D264" s="641">
        <v>803.97</v>
      </c>
      <c r="E264" s="644" t="s">
        <v>1828</v>
      </c>
      <c r="F264" s="506"/>
      <c r="G264" s="15"/>
    </row>
    <row r="265" spans="1:7" ht="25.5">
      <c r="A265" s="647">
        <v>7130860076</v>
      </c>
      <c r="B265" s="639" t="s">
        <v>483</v>
      </c>
      <c r="C265" s="640" t="s">
        <v>600</v>
      </c>
      <c r="D265" s="641">
        <v>69756.41</v>
      </c>
      <c r="E265" s="644" t="s">
        <v>245</v>
      </c>
      <c r="F265" s="506"/>
      <c r="G265" s="15"/>
    </row>
    <row r="266" spans="1:7" ht="25.5">
      <c r="A266" s="647">
        <v>7130860077</v>
      </c>
      <c r="B266" s="639" t="s">
        <v>484</v>
      </c>
      <c r="C266" s="640" t="s">
        <v>600</v>
      </c>
      <c r="D266" s="641">
        <v>70439.64</v>
      </c>
      <c r="E266" s="644" t="s">
        <v>246</v>
      </c>
      <c r="F266" s="506"/>
      <c r="G266" s="15"/>
    </row>
    <row r="267" spans="1:8" ht="18" customHeight="1">
      <c r="A267" s="643">
        <v>7130870010</v>
      </c>
      <c r="B267" s="662" t="s">
        <v>1295</v>
      </c>
      <c r="C267" s="668" t="s">
        <v>749</v>
      </c>
      <c r="D267" s="641">
        <v>764.89</v>
      </c>
      <c r="E267" s="646"/>
      <c r="F267" s="506"/>
      <c r="G267" s="15"/>
      <c r="H267" s="24"/>
    </row>
    <row r="268" spans="1:7" ht="39.75" customHeight="1">
      <c r="A268" s="647">
        <v>7130870013</v>
      </c>
      <c r="B268" s="639" t="s">
        <v>597</v>
      </c>
      <c r="C268" s="640" t="s">
        <v>926</v>
      </c>
      <c r="D268" s="641">
        <v>114.85</v>
      </c>
      <c r="E268" s="644" t="s">
        <v>1855</v>
      </c>
      <c r="F268" s="506"/>
      <c r="G268" s="15"/>
    </row>
    <row r="269" spans="1:7" ht="18" customHeight="1">
      <c r="A269" s="647">
        <v>7130870030</v>
      </c>
      <c r="B269" s="672" t="s">
        <v>485</v>
      </c>
      <c r="C269" s="647" t="s">
        <v>749</v>
      </c>
      <c r="D269" s="641">
        <v>358.38</v>
      </c>
      <c r="E269" s="646" t="s">
        <v>247</v>
      </c>
      <c r="F269" s="506"/>
      <c r="G269" s="15"/>
    </row>
    <row r="270" spans="1:7" ht="18.75" customHeight="1">
      <c r="A270" s="647">
        <v>7130870041</v>
      </c>
      <c r="B270" s="639" t="s">
        <v>486</v>
      </c>
      <c r="C270" s="640" t="s">
        <v>600</v>
      </c>
      <c r="D270" s="641">
        <v>63044.96</v>
      </c>
      <c r="E270" s="646" t="s">
        <v>248</v>
      </c>
      <c r="F270" s="506"/>
      <c r="G270" s="15"/>
    </row>
    <row r="271" spans="1:7" ht="18.75" customHeight="1">
      <c r="A271" s="647">
        <v>7130870043</v>
      </c>
      <c r="B271" s="639" t="s">
        <v>311</v>
      </c>
      <c r="C271" s="640" t="s">
        <v>600</v>
      </c>
      <c r="D271" s="641">
        <v>62999.96</v>
      </c>
      <c r="E271" s="646" t="s">
        <v>249</v>
      </c>
      <c r="F271" s="506"/>
      <c r="G271" s="15"/>
    </row>
    <row r="272" spans="1:7" ht="18.75" customHeight="1">
      <c r="A272" s="647">
        <v>7130870045</v>
      </c>
      <c r="B272" s="639" t="s">
        <v>312</v>
      </c>
      <c r="C272" s="640" t="s">
        <v>600</v>
      </c>
      <c r="D272" s="641">
        <v>62999.96</v>
      </c>
      <c r="E272" s="646" t="s">
        <v>250</v>
      </c>
      <c r="F272" s="506"/>
      <c r="G272" s="15"/>
    </row>
    <row r="273" spans="1:7" ht="27.75" customHeight="1">
      <c r="A273" s="638">
        <v>7130870088</v>
      </c>
      <c r="B273" s="639" t="s">
        <v>118</v>
      </c>
      <c r="C273" s="640" t="s">
        <v>926</v>
      </c>
      <c r="D273" s="641">
        <v>2183.26</v>
      </c>
      <c r="E273" s="646"/>
      <c r="F273" s="506"/>
      <c r="G273" s="15"/>
    </row>
    <row r="274" spans="1:7" ht="25.5">
      <c r="A274" s="669">
        <v>7130870318</v>
      </c>
      <c r="B274" s="639" t="s">
        <v>834</v>
      </c>
      <c r="C274" s="640" t="s">
        <v>748</v>
      </c>
      <c r="D274" s="641">
        <v>978.57</v>
      </c>
      <c r="E274" s="644" t="s">
        <v>251</v>
      </c>
      <c r="F274" s="506"/>
      <c r="G274" s="15"/>
    </row>
    <row r="275" spans="1:8" ht="27.75" customHeight="1">
      <c r="A275" s="673">
        <v>7130877681</v>
      </c>
      <c r="B275" s="653" t="s">
        <v>1292</v>
      </c>
      <c r="C275" s="645" t="s">
        <v>926</v>
      </c>
      <c r="D275" s="641">
        <v>2334.43</v>
      </c>
      <c r="E275" s="644" t="s">
        <v>313</v>
      </c>
      <c r="F275" s="506"/>
      <c r="G275" s="15"/>
      <c r="H275" s="24"/>
    </row>
    <row r="276" spans="1:8" ht="25.5">
      <c r="A276" s="645">
        <v>7130877683</v>
      </c>
      <c r="B276" s="653" t="s">
        <v>1293</v>
      </c>
      <c r="C276" s="645" t="s">
        <v>926</v>
      </c>
      <c r="D276" s="641">
        <v>2075.04</v>
      </c>
      <c r="E276" s="644" t="s">
        <v>252</v>
      </c>
      <c r="F276" s="506"/>
      <c r="G276" s="15"/>
      <c r="H276" s="24"/>
    </row>
    <row r="277" spans="1:8" ht="19.5" customHeight="1">
      <c r="A277" s="643">
        <v>7130880006</v>
      </c>
      <c r="B277" s="644" t="s">
        <v>654</v>
      </c>
      <c r="C277" s="645" t="s">
        <v>749</v>
      </c>
      <c r="D277" s="641">
        <v>126.51</v>
      </c>
      <c r="E277" s="646" t="s">
        <v>398</v>
      </c>
      <c r="F277" s="506"/>
      <c r="G277" s="15"/>
      <c r="H277" s="24"/>
    </row>
    <row r="278" spans="1:8" ht="27.75" customHeight="1">
      <c r="A278" s="643">
        <v>7130880006</v>
      </c>
      <c r="B278" s="662" t="s">
        <v>359</v>
      </c>
      <c r="C278" s="661" t="s">
        <v>749</v>
      </c>
      <c r="D278" s="641">
        <v>139.39</v>
      </c>
      <c r="E278" s="646" t="s">
        <v>398</v>
      </c>
      <c r="F278" s="506"/>
      <c r="G278" s="15"/>
      <c r="H278" s="24"/>
    </row>
    <row r="279" spans="1:7" ht="18" customHeight="1">
      <c r="A279" s="647">
        <v>7130880041</v>
      </c>
      <c r="B279" s="639" t="s">
        <v>1131</v>
      </c>
      <c r="C279" s="640" t="s">
        <v>926</v>
      </c>
      <c r="D279" s="641">
        <v>89.74</v>
      </c>
      <c r="E279" s="644" t="s">
        <v>1872</v>
      </c>
      <c r="F279" s="506"/>
      <c r="G279" s="15"/>
    </row>
    <row r="280" spans="1:7" ht="25.5">
      <c r="A280" s="643">
        <v>7130890004</v>
      </c>
      <c r="B280" s="644" t="s">
        <v>514</v>
      </c>
      <c r="C280" s="640" t="s">
        <v>996</v>
      </c>
      <c r="D280" s="641">
        <v>5151.35</v>
      </c>
      <c r="E280" s="644" t="s">
        <v>399</v>
      </c>
      <c r="F280" s="506"/>
      <c r="G280" s="15"/>
    </row>
    <row r="281" spans="1:7" ht="25.5">
      <c r="A281" s="643">
        <v>7130890005</v>
      </c>
      <c r="B281" s="644" t="s">
        <v>677</v>
      </c>
      <c r="C281" s="640" t="s">
        <v>996</v>
      </c>
      <c r="D281" s="641">
        <v>6499.75</v>
      </c>
      <c r="E281" s="646"/>
      <c r="F281" s="506"/>
      <c r="G281" s="15"/>
    </row>
    <row r="282" spans="1:7" ht="25.5">
      <c r="A282" s="643">
        <v>7130890006</v>
      </c>
      <c r="B282" s="644" t="s">
        <v>678</v>
      </c>
      <c r="C282" s="640" t="s">
        <v>996</v>
      </c>
      <c r="D282" s="641">
        <v>14741.43</v>
      </c>
      <c r="E282" s="644" t="s">
        <v>400</v>
      </c>
      <c r="F282" s="506"/>
      <c r="G282" s="15"/>
    </row>
    <row r="283" spans="1:7" ht="25.5">
      <c r="A283" s="643">
        <v>7130890007</v>
      </c>
      <c r="B283" s="644" t="s">
        <v>679</v>
      </c>
      <c r="C283" s="640" t="s">
        <v>996</v>
      </c>
      <c r="D283" s="641">
        <v>15443.4</v>
      </c>
      <c r="E283" s="644" t="s">
        <v>401</v>
      </c>
      <c r="F283" s="506"/>
      <c r="G283" s="15"/>
    </row>
    <row r="284" spans="1:8" ht="25.5" customHeight="1">
      <c r="A284" s="643">
        <v>7130890008</v>
      </c>
      <c r="B284" s="644" t="s">
        <v>680</v>
      </c>
      <c r="C284" s="645" t="s">
        <v>996</v>
      </c>
      <c r="D284" s="641">
        <v>57.31</v>
      </c>
      <c r="E284" s="646" t="s">
        <v>402</v>
      </c>
      <c r="F284" s="506"/>
      <c r="G284" s="15"/>
      <c r="H284" s="24"/>
    </row>
    <row r="285" spans="1:8" ht="30" customHeight="1">
      <c r="A285" s="643">
        <v>7130890973</v>
      </c>
      <c r="B285" s="674" t="s">
        <v>1868</v>
      </c>
      <c r="C285" s="675" t="s">
        <v>748</v>
      </c>
      <c r="D285" s="641">
        <v>58.95</v>
      </c>
      <c r="E285" s="646"/>
      <c r="F285" s="506"/>
      <c r="G285" s="15"/>
      <c r="H285" s="24"/>
    </row>
    <row r="286" spans="1:8" ht="18" customHeight="1">
      <c r="A286" s="643">
        <v>7131961526</v>
      </c>
      <c r="B286" s="676" t="s">
        <v>681</v>
      </c>
      <c r="C286" s="641" t="s">
        <v>996</v>
      </c>
      <c r="D286" s="641">
        <v>3696.94</v>
      </c>
      <c r="E286" s="646" t="s">
        <v>403</v>
      </c>
      <c r="F286" s="509"/>
      <c r="G286" s="585"/>
      <c r="H286" s="490"/>
    </row>
    <row r="287" spans="1:8" ht="18" customHeight="1">
      <c r="A287" s="643">
        <v>7130893004</v>
      </c>
      <c r="B287" s="677" t="s">
        <v>1294</v>
      </c>
      <c r="C287" s="668" t="s">
        <v>749</v>
      </c>
      <c r="D287" s="641">
        <v>176.78</v>
      </c>
      <c r="E287" s="646" t="s">
        <v>404</v>
      </c>
      <c r="F287" s="506"/>
      <c r="G287" s="15"/>
      <c r="H287" s="24"/>
    </row>
    <row r="288" spans="1:7" ht="25.5">
      <c r="A288" s="647">
        <v>7130897759</v>
      </c>
      <c r="B288" s="672" t="s">
        <v>314</v>
      </c>
      <c r="C288" s="647" t="s">
        <v>748</v>
      </c>
      <c r="D288" s="641">
        <v>3346.47</v>
      </c>
      <c r="E288" s="644" t="s">
        <v>405</v>
      </c>
      <c r="F288" s="506"/>
      <c r="G288" s="15"/>
    </row>
    <row r="289" spans="1:8" ht="18.75" customHeight="1">
      <c r="A289" s="643">
        <v>7131210001</v>
      </c>
      <c r="B289" s="644" t="s">
        <v>849</v>
      </c>
      <c r="C289" s="645" t="s">
        <v>996</v>
      </c>
      <c r="D289" s="641">
        <v>119.53</v>
      </c>
      <c r="E289" s="646"/>
      <c r="F289" s="506"/>
      <c r="G289" s="15"/>
      <c r="H289" s="24"/>
    </row>
    <row r="290" spans="1:8" ht="18.75" customHeight="1">
      <c r="A290" s="643">
        <v>7131210010</v>
      </c>
      <c r="B290" s="678" t="s">
        <v>1877</v>
      </c>
      <c r="C290" s="679" t="s">
        <v>926</v>
      </c>
      <c r="D290" s="641"/>
      <c r="E290" s="646"/>
      <c r="F290" s="506"/>
      <c r="G290" s="600" t="s">
        <v>1829</v>
      </c>
      <c r="H290" s="24"/>
    </row>
    <row r="291" spans="1:8" ht="18.75" customHeight="1">
      <c r="A291" s="680">
        <v>7131210018</v>
      </c>
      <c r="B291" s="681" t="s">
        <v>1878</v>
      </c>
      <c r="C291" s="666" t="s">
        <v>926</v>
      </c>
      <c r="D291" s="641"/>
      <c r="E291" s="646"/>
      <c r="F291" s="506"/>
      <c r="G291" s="600" t="s">
        <v>1829</v>
      </c>
      <c r="H291" s="24"/>
    </row>
    <row r="292" spans="1:8" ht="18.75" customHeight="1">
      <c r="A292" s="680">
        <v>7131210019</v>
      </c>
      <c r="B292" s="682" t="s">
        <v>1879</v>
      </c>
      <c r="C292" s="683" t="s">
        <v>926</v>
      </c>
      <c r="D292" s="641"/>
      <c r="E292" s="646"/>
      <c r="F292" s="506"/>
      <c r="G292" s="600" t="s">
        <v>1829</v>
      </c>
      <c r="H292" s="24"/>
    </row>
    <row r="293" spans="1:8" ht="18.75" customHeight="1">
      <c r="A293" s="684">
        <v>7131210020</v>
      </c>
      <c r="B293" s="665" t="s">
        <v>1880</v>
      </c>
      <c r="C293" s="666" t="s">
        <v>926</v>
      </c>
      <c r="D293" s="641"/>
      <c r="E293" s="646"/>
      <c r="F293" s="506"/>
      <c r="G293" s="600" t="s">
        <v>1829</v>
      </c>
      <c r="H293" s="24"/>
    </row>
    <row r="294" spans="1:8" ht="27" customHeight="1">
      <c r="A294" s="680">
        <v>7131210021</v>
      </c>
      <c r="B294" s="685" t="s">
        <v>1881</v>
      </c>
      <c r="C294" s="679" t="s">
        <v>996</v>
      </c>
      <c r="D294" s="641"/>
      <c r="E294" s="646"/>
      <c r="F294" s="506"/>
      <c r="G294" s="600" t="s">
        <v>1829</v>
      </c>
      <c r="H294" s="24"/>
    </row>
    <row r="295" spans="1:8" ht="27" customHeight="1">
      <c r="A295" s="680">
        <v>7131210022</v>
      </c>
      <c r="B295" s="665" t="s">
        <v>1882</v>
      </c>
      <c r="C295" s="666" t="s">
        <v>996</v>
      </c>
      <c r="D295" s="641"/>
      <c r="E295" s="646"/>
      <c r="F295" s="506"/>
      <c r="G295" s="600" t="s">
        <v>1829</v>
      </c>
      <c r="H295" s="24"/>
    </row>
    <row r="296" spans="1:7" ht="18.75" customHeight="1">
      <c r="A296" s="638">
        <v>7131210852</v>
      </c>
      <c r="B296" s="639" t="s">
        <v>628</v>
      </c>
      <c r="C296" s="640" t="s">
        <v>926</v>
      </c>
      <c r="D296" s="641"/>
      <c r="E296" s="646"/>
      <c r="F296" s="506"/>
      <c r="G296" s="600" t="s">
        <v>1829</v>
      </c>
    </row>
    <row r="297" spans="1:7" ht="18.75" customHeight="1">
      <c r="A297" s="638">
        <v>7131210881</v>
      </c>
      <c r="B297" s="639" t="s">
        <v>640</v>
      </c>
      <c r="C297" s="640" t="s">
        <v>926</v>
      </c>
      <c r="D297" s="641"/>
      <c r="E297" s="646" t="s">
        <v>406</v>
      </c>
      <c r="F297" s="506"/>
      <c r="G297" s="600" t="s">
        <v>1829</v>
      </c>
    </row>
    <row r="298" spans="1:7" ht="18.75" customHeight="1">
      <c r="A298" s="647">
        <v>7131220182</v>
      </c>
      <c r="B298" s="639" t="s">
        <v>643</v>
      </c>
      <c r="C298" s="640" t="s">
        <v>926</v>
      </c>
      <c r="D298" s="641"/>
      <c r="E298" s="646" t="s">
        <v>469</v>
      </c>
      <c r="F298" s="506"/>
      <c r="G298" s="600" t="s">
        <v>1829</v>
      </c>
    </row>
    <row r="299" spans="1:7" ht="25.5">
      <c r="A299" s="638">
        <v>7131230003</v>
      </c>
      <c r="B299" s="639" t="s">
        <v>641</v>
      </c>
      <c r="C299" s="640" t="s">
        <v>926</v>
      </c>
      <c r="D299" s="641"/>
      <c r="E299" s="644" t="s">
        <v>470</v>
      </c>
      <c r="F299" s="506"/>
      <c r="G299" s="600" t="s">
        <v>1829</v>
      </c>
    </row>
    <row r="300" spans="1:7" ht="25.5">
      <c r="A300" s="638">
        <v>7131230116</v>
      </c>
      <c r="B300" s="639" t="s">
        <v>639</v>
      </c>
      <c r="C300" s="640" t="s">
        <v>926</v>
      </c>
      <c r="D300" s="641"/>
      <c r="E300" s="644" t="s">
        <v>471</v>
      </c>
      <c r="F300" s="506"/>
      <c r="G300" s="600" t="s">
        <v>1829</v>
      </c>
    </row>
    <row r="301" spans="1:7" ht="27" customHeight="1">
      <c r="A301" s="667">
        <v>7131230128</v>
      </c>
      <c r="B301" s="639" t="s">
        <v>651</v>
      </c>
      <c r="C301" s="640" t="s">
        <v>926</v>
      </c>
      <c r="D301" s="686"/>
      <c r="E301" s="644" t="s">
        <v>472</v>
      </c>
      <c r="F301" s="506"/>
      <c r="G301" s="600" t="s">
        <v>1829</v>
      </c>
    </row>
    <row r="302" spans="1:7" ht="18.75" customHeight="1">
      <c r="A302" s="638">
        <v>7131280006</v>
      </c>
      <c r="B302" s="639" t="s">
        <v>635</v>
      </c>
      <c r="C302" s="640" t="s">
        <v>926</v>
      </c>
      <c r="D302" s="641"/>
      <c r="E302" s="646"/>
      <c r="F302" s="506"/>
      <c r="G302" s="600" t="s">
        <v>1829</v>
      </c>
    </row>
    <row r="303" spans="1:7" ht="18.75" customHeight="1">
      <c r="A303" s="638">
        <v>7131280007</v>
      </c>
      <c r="B303" s="639" t="s">
        <v>636</v>
      </c>
      <c r="C303" s="640" t="s">
        <v>926</v>
      </c>
      <c r="D303" s="641"/>
      <c r="E303" s="646" t="s">
        <v>473</v>
      </c>
      <c r="F303" s="506"/>
      <c r="G303" s="600" t="s">
        <v>1829</v>
      </c>
    </row>
    <row r="304" spans="1:7" ht="18.75" customHeight="1">
      <c r="A304" s="638">
        <v>7131280008</v>
      </c>
      <c r="B304" s="639" t="s">
        <v>637</v>
      </c>
      <c r="C304" s="640" t="s">
        <v>926</v>
      </c>
      <c r="D304" s="641"/>
      <c r="E304" s="646"/>
      <c r="F304" s="506"/>
      <c r="G304" s="600" t="s">
        <v>1829</v>
      </c>
    </row>
    <row r="305" spans="1:7" ht="18.75" customHeight="1">
      <c r="A305" s="638">
        <v>7131280009</v>
      </c>
      <c r="B305" s="639" t="s">
        <v>638</v>
      </c>
      <c r="C305" s="640" t="s">
        <v>926</v>
      </c>
      <c r="D305" s="641"/>
      <c r="E305" s="646"/>
      <c r="F305" s="506"/>
      <c r="G305" s="600" t="s">
        <v>1829</v>
      </c>
    </row>
    <row r="306" spans="1:7" ht="18.75" customHeight="1">
      <c r="A306" s="638">
        <v>7131280010</v>
      </c>
      <c r="B306" s="639" t="s">
        <v>642</v>
      </c>
      <c r="C306" s="640" t="s">
        <v>926</v>
      </c>
      <c r="D306" s="641"/>
      <c r="E306" s="646"/>
      <c r="F306" s="506"/>
      <c r="G306" s="600" t="s">
        <v>1829</v>
      </c>
    </row>
    <row r="307" spans="1:7" ht="27.75" customHeight="1">
      <c r="A307" s="638">
        <v>7131280011</v>
      </c>
      <c r="B307" s="639" t="s">
        <v>644</v>
      </c>
      <c r="C307" s="640" t="s">
        <v>926</v>
      </c>
      <c r="D307" s="641"/>
      <c r="E307" s="646"/>
      <c r="F307" s="506"/>
      <c r="G307" s="600" t="s">
        <v>1829</v>
      </c>
    </row>
    <row r="308" spans="1:7" ht="25.5">
      <c r="A308" s="638">
        <v>7131280012</v>
      </c>
      <c r="B308" s="639" t="s">
        <v>645</v>
      </c>
      <c r="C308" s="640" t="s">
        <v>926</v>
      </c>
      <c r="D308" s="641"/>
      <c r="E308" s="644" t="s">
        <v>492</v>
      </c>
      <c r="F308" s="506"/>
      <c r="G308" s="600" t="s">
        <v>1829</v>
      </c>
    </row>
    <row r="309" spans="1:7" ht="18.75" customHeight="1">
      <c r="A309" s="638">
        <v>7131280013</v>
      </c>
      <c r="B309" s="639" t="s">
        <v>646</v>
      </c>
      <c r="C309" s="640" t="s">
        <v>926</v>
      </c>
      <c r="D309" s="641"/>
      <c r="E309" s="646" t="s">
        <v>493</v>
      </c>
      <c r="F309" s="506"/>
      <c r="G309" s="600" t="s">
        <v>1829</v>
      </c>
    </row>
    <row r="310" spans="1:7" ht="18.75" customHeight="1">
      <c r="A310" s="638">
        <v>7131280014</v>
      </c>
      <c r="B310" s="639" t="s">
        <v>647</v>
      </c>
      <c r="C310" s="640" t="s">
        <v>926</v>
      </c>
      <c r="D310" s="641"/>
      <c r="E310" s="646" t="s">
        <v>494</v>
      </c>
      <c r="F310" s="506"/>
      <c r="G310" s="600" t="s">
        <v>1829</v>
      </c>
    </row>
    <row r="311" spans="1:7" ht="18.75" customHeight="1">
      <c r="A311" s="638">
        <v>7131280015</v>
      </c>
      <c r="B311" s="639" t="s">
        <v>648</v>
      </c>
      <c r="C311" s="640" t="s">
        <v>926</v>
      </c>
      <c r="D311" s="641"/>
      <c r="E311" s="646" t="s">
        <v>495</v>
      </c>
      <c r="F311" s="506"/>
      <c r="G311" s="600" t="s">
        <v>1829</v>
      </c>
    </row>
    <row r="312" spans="1:7" ht="25.5">
      <c r="A312" s="638">
        <v>7131280016</v>
      </c>
      <c r="B312" s="639" t="s">
        <v>649</v>
      </c>
      <c r="C312" s="640" t="s">
        <v>926</v>
      </c>
      <c r="D312" s="641"/>
      <c r="E312" s="644" t="s">
        <v>496</v>
      </c>
      <c r="F312" s="506"/>
      <c r="G312" s="600" t="s">
        <v>1829</v>
      </c>
    </row>
    <row r="313" spans="1:7" ht="27.75" customHeight="1">
      <c r="A313" s="638">
        <v>7131280017</v>
      </c>
      <c r="B313" s="639" t="s">
        <v>650</v>
      </c>
      <c r="C313" s="640" t="s">
        <v>926</v>
      </c>
      <c r="D313" s="641"/>
      <c r="E313" s="644" t="s">
        <v>497</v>
      </c>
      <c r="F313" s="506"/>
      <c r="G313" s="600" t="s">
        <v>1829</v>
      </c>
    </row>
    <row r="314" spans="1:7" ht="19.5" customHeight="1">
      <c r="A314" s="638">
        <v>7131280882</v>
      </c>
      <c r="B314" s="639" t="s">
        <v>629</v>
      </c>
      <c r="C314" s="640" t="s">
        <v>926</v>
      </c>
      <c r="D314" s="641"/>
      <c r="E314" s="646"/>
      <c r="F314" s="506"/>
      <c r="G314" s="600" t="s">
        <v>1829</v>
      </c>
    </row>
    <row r="315" spans="1:8" ht="25.5">
      <c r="A315" s="647">
        <v>7131300046</v>
      </c>
      <c r="B315" s="639" t="s">
        <v>729</v>
      </c>
      <c r="C315" s="640" t="s">
        <v>926</v>
      </c>
      <c r="D315" s="641">
        <v>1621.45</v>
      </c>
      <c r="E315" s="644" t="s">
        <v>498</v>
      </c>
      <c r="F315" s="507" t="s">
        <v>1814</v>
      </c>
      <c r="G315" s="596"/>
      <c r="H315" s="597"/>
    </row>
    <row r="316" spans="1:8" ht="42.75" customHeight="1">
      <c r="A316" s="645">
        <v>7131300065</v>
      </c>
      <c r="B316" s="639" t="s">
        <v>1842</v>
      </c>
      <c r="C316" s="640" t="s">
        <v>926</v>
      </c>
      <c r="D316" s="641">
        <v>1081589.85</v>
      </c>
      <c r="E316" s="646" t="s">
        <v>499</v>
      </c>
      <c r="F316" s="506"/>
      <c r="G316" s="596"/>
      <c r="H316" s="597"/>
    </row>
    <row r="317" spans="1:12" ht="24" customHeight="1">
      <c r="A317" s="643">
        <v>7131300067</v>
      </c>
      <c r="B317" s="644" t="s">
        <v>293</v>
      </c>
      <c r="C317" s="645" t="s">
        <v>996</v>
      </c>
      <c r="D317" s="641">
        <v>169.52</v>
      </c>
      <c r="E317" s="646"/>
      <c r="F317" s="506"/>
      <c r="G317" s="607" t="s">
        <v>1886</v>
      </c>
      <c r="H317" s="24"/>
      <c r="L317" s="72"/>
    </row>
    <row r="318" spans="1:8" ht="25.5">
      <c r="A318" s="643">
        <v>7131300082</v>
      </c>
      <c r="B318" s="644" t="s">
        <v>819</v>
      </c>
      <c r="C318" s="645" t="s">
        <v>996</v>
      </c>
      <c r="D318" s="641">
        <v>728.23</v>
      </c>
      <c r="E318" s="644" t="s">
        <v>500</v>
      </c>
      <c r="F318" s="506"/>
      <c r="G318" s="15"/>
      <c r="H318" s="24"/>
    </row>
    <row r="319" spans="1:8" ht="38.25">
      <c r="A319" s="647">
        <v>7131300500</v>
      </c>
      <c r="B319" s="639" t="s">
        <v>752</v>
      </c>
      <c r="C319" s="640" t="s">
        <v>926</v>
      </c>
      <c r="D319" s="641">
        <v>695.5</v>
      </c>
      <c r="E319" s="644" t="s">
        <v>501</v>
      </c>
      <c r="F319" s="507" t="s">
        <v>1814</v>
      </c>
      <c r="G319" s="596"/>
      <c r="H319" s="597"/>
    </row>
    <row r="320" spans="1:8" ht="25.5">
      <c r="A320" s="640">
        <v>7131300881</v>
      </c>
      <c r="B320" s="639" t="s">
        <v>1841</v>
      </c>
      <c r="C320" s="640" t="s">
        <v>926</v>
      </c>
      <c r="D320" s="641">
        <v>26218.87</v>
      </c>
      <c r="E320" s="644" t="s">
        <v>502</v>
      </c>
      <c r="F320" s="506"/>
      <c r="G320" s="15"/>
      <c r="H320" s="498"/>
    </row>
    <row r="321" spans="1:8" ht="20.25" customHeight="1">
      <c r="A321" s="640">
        <v>7131310013</v>
      </c>
      <c r="B321" s="639" t="s">
        <v>1839</v>
      </c>
      <c r="C321" s="640" t="s">
        <v>926</v>
      </c>
      <c r="D321" s="641">
        <v>3829.1</v>
      </c>
      <c r="E321" s="646" t="s">
        <v>503</v>
      </c>
      <c r="F321" s="507" t="s">
        <v>1814</v>
      </c>
      <c r="G321" s="598"/>
      <c r="H321" s="599"/>
    </row>
    <row r="322" spans="1:8" ht="40.5" customHeight="1">
      <c r="A322" s="647">
        <v>7131310015</v>
      </c>
      <c r="B322" s="639" t="s">
        <v>1861</v>
      </c>
      <c r="C322" s="640" t="s">
        <v>926</v>
      </c>
      <c r="D322" s="641">
        <v>11958.83</v>
      </c>
      <c r="E322" s="644" t="s">
        <v>504</v>
      </c>
      <c r="F322" s="507" t="s">
        <v>1814</v>
      </c>
      <c r="G322" s="598"/>
      <c r="H322" s="599"/>
    </row>
    <row r="323" spans="1:8" ht="27.75" customHeight="1">
      <c r="A323" s="640">
        <v>7131310033</v>
      </c>
      <c r="B323" s="670" t="s">
        <v>1132</v>
      </c>
      <c r="C323" s="640" t="s">
        <v>926</v>
      </c>
      <c r="D323" s="641">
        <v>3500.23</v>
      </c>
      <c r="E323" s="644" t="s">
        <v>505</v>
      </c>
      <c r="F323" s="507" t="s">
        <v>1814</v>
      </c>
      <c r="G323" s="598"/>
      <c r="H323" s="599"/>
    </row>
    <row r="324" spans="1:8" ht="25.5">
      <c r="A324" s="640">
        <v>7131310034</v>
      </c>
      <c r="B324" s="670" t="s">
        <v>1104</v>
      </c>
      <c r="C324" s="640" t="s">
        <v>926</v>
      </c>
      <c r="D324" s="641">
        <v>3500.23</v>
      </c>
      <c r="E324" s="644" t="s">
        <v>505</v>
      </c>
      <c r="F324" s="507" t="s">
        <v>1814</v>
      </c>
      <c r="G324" s="596"/>
      <c r="H324" s="597"/>
    </row>
    <row r="325" spans="1:8" ht="25.5">
      <c r="A325" s="640">
        <v>7131310035</v>
      </c>
      <c r="B325" s="639" t="s">
        <v>1838</v>
      </c>
      <c r="C325" s="640" t="s">
        <v>926</v>
      </c>
      <c r="D325" s="641">
        <v>16457.11</v>
      </c>
      <c r="E325" s="644" t="s">
        <v>506</v>
      </c>
      <c r="F325" s="507" t="s">
        <v>1814</v>
      </c>
      <c r="G325" s="596"/>
      <c r="H325" s="597"/>
    </row>
    <row r="326" spans="1:8" ht="25.5">
      <c r="A326" s="640">
        <v>7131310036</v>
      </c>
      <c r="B326" s="639" t="s">
        <v>1837</v>
      </c>
      <c r="C326" s="640" t="s">
        <v>926</v>
      </c>
      <c r="D326" s="641">
        <v>16457.11</v>
      </c>
      <c r="E326" s="644" t="s">
        <v>507</v>
      </c>
      <c r="F326" s="507" t="s">
        <v>1814</v>
      </c>
      <c r="G326" s="596"/>
      <c r="H326" s="597"/>
    </row>
    <row r="327" spans="1:8" ht="25.5">
      <c r="A327" s="640">
        <v>7131310042</v>
      </c>
      <c r="B327" s="670" t="s">
        <v>1840</v>
      </c>
      <c r="C327" s="640" t="s">
        <v>926</v>
      </c>
      <c r="D327" s="641">
        <v>16457.11</v>
      </c>
      <c r="E327" s="646"/>
      <c r="F327" s="507" t="s">
        <v>1814</v>
      </c>
      <c r="G327" s="596"/>
      <c r="H327" s="597"/>
    </row>
    <row r="328" spans="1:8" ht="15.75" customHeight="1">
      <c r="A328" s="640">
        <v>7131310037</v>
      </c>
      <c r="B328" s="639" t="s">
        <v>326</v>
      </c>
      <c r="C328" s="640" t="s">
        <v>926</v>
      </c>
      <c r="D328" s="641">
        <v>894.97</v>
      </c>
      <c r="E328" s="646" t="s">
        <v>508</v>
      </c>
      <c r="F328" s="506"/>
      <c r="G328" s="15"/>
      <c r="H328" s="24"/>
    </row>
    <row r="329" spans="1:8" ht="25.5">
      <c r="A329" s="647">
        <v>7131310997</v>
      </c>
      <c r="B329" s="639" t="s">
        <v>730</v>
      </c>
      <c r="C329" s="640" t="s">
        <v>926</v>
      </c>
      <c r="D329" s="641">
        <v>1639.61</v>
      </c>
      <c r="E329" s="646" t="s">
        <v>509</v>
      </c>
      <c r="F329" s="507" t="s">
        <v>1814</v>
      </c>
      <c r="G329" s="596"/>
      <c r="H329" s="597"/>
    </row>
    <row r="330" spans="1:8" ht="25.5">
      <c r="A330" s="667">
        <v>7131320009</v>
      </c>
      <c r="B330" s="644" t="s">
        <v>140</v>
      </c>
      <c r="C330" s="645" t="s">
        <v>996</v>
      </c>
      <c r="D330" s="641">
        <v>3034.29</v>
      </c>
      <c r="E330" s="644" t="s">
        <v>510</v>
      </c>
      <c r="F330" s="506"/>
      <c r="G330" s="15"/>
      <c r="H330" s="24"/>
    </row>
    <row r="331" spans="1:12" ht="25.5">
      <c r="A331" s="643">
        <v>7131321603</v>
      </c>
      <c r="B331" s="644" t="s">
        <v>1287</v>
      </c>
      <c r="C331" s="645" t="s">
        <v>996</v>
      </c>
      <c r="D331" s="641">
        <v>3752.28</v>
      </c>
      <c r="E331" s="646"/>
      <c r="F331" s="506"/>
      <c r="G331" s="607" t="s">
        <v>1886</v>
      </c>
      <c r="H331" s="24"/>
      <c r="L331" s="72"/>
    </row>
    <row r="332" spans="1:8" ht="17.25" customHeight="1">
      <c r="A332" s="643">
        <v>7131324780</v>
      </c>
      <c r="B332" s="644" t="s">
        <v>144</v>
      </c>
      <c r="C332" s="645" t="s">
        <v>996</v>
      </c>
      <c r="D332" s="641">
        <v>3641.14</v>
      </c>
      <c r="E332" s="646"/>
      <c r="F332" s="506"/>
      <c r="G332" s="15"/>
      <c r="H332" s="24"/>
    </row>
    <row r="333" spans="1:8" ht="17.25" customHeight="1">
      <c r="A333" s="667">
        <v>7131324806</v>
      </c>
      <c r="B333" s="644" t="s">
        <v>1217</v>
      </c>
      <c r="C333" s="645" t="s">
        <v>996</v>
      </c>
      <c r="D333" s="641">
        <v>5487.76</v>
      </c>
      <c r="E333" s="646" t="s">
        <v>511</v>
      </c>
      <c r="F333" s="506"/>
      <c r="G333" s="15"/>
      <c r="H333" s="24"/>
    </row>
    <row r="334" spans="1:7" ht="25.5">
      <c r="A334" s="638">
        <v>7131329275</v>
      </c>
      <c r="B334" s="639" t="s">
        <v>268</v>
      </c>
      <c r="C334" s="640" t="s">
        <v>926</v>
      </c>
      <c r="D334" s="641">
        <v>6159.6</v>
      </c>
      <c r="E334" s="646"/>
      <c r="F334" s="506"/>
      <c r="G334" s="15"/>
    </row>
    <row r="335" spans="1:10" ht="25.5">
      <c r="A335" s="638">
        <v>7131334001</v>
      </c>
      <c r="B335" s="639" t="s">
        <v>269</v>
      </c>
      <c r="C335" s="640" t="s">
        <v>996</v>
      </c>
      <c r="D335" s="641">
        <v>7516.15</v>
      </c>
      <c r="E335" s="644" t="s">
        <v>423</v>
      </c>
      <c r="F335" s="506"/>
      <c r="G335" s="15"/>
      <c r="J335" s="123"/>
    </row>
    <row r="336" spans="1:10" ht="38.25" customHeight="1">
      <c r="A336" s="638">
        <v>7131334002</v>
      </c>
      <c r="B336" s="639" t="s">
        <v>270</v>
      </c>
      <c r="C336" s="640" t="s">
        <v>996</v>
      </c>
      <c r="D336" s="641">
        <v>7576.27</v>
      </c>
      <c r="E336" s="644" t="s">
        <v>424</v>
      </c>
      <c r="F336" s="506"/>
      <c r="G336" s="15"/>
      <c r="J336" s="123"/>
    </row>
    <row r="337" spans="1:10" ht="21" customHeight="1">
      <c r="A337" s="638">
        <v>7131399007</v>
      </c>
      <c r="B337" s="639" t="s">
        <v>271</v>
      </c>
      <c r="C337" s="640" t="s">
        <v>996</v>
      </c>
      <c r="D337" s="641">
        <v>1598.39</v>
      </c>
      <c r="E337" s="646"/>
      <c r="F337" s="506"/>
      <c r="G337" s="15"/>
      <c r="J337" s="123"/>
    </row>
    <row r="338" spans="1:12" ht="25.5">
      <c r="A338" s="643">
        <v>7131338004</v>
      </c>
      <c r="B338" s="644" t="s">
        <v>1918</v>
      </c>
      <c r="C338" s="645" t="s">
        <v>996</v>
      </c>
      <c r="D338" s="641">
        <v>61560</v>
      </c>
      <c r="E338" s="646"/>
      <c r="F338" s="506"/>
      <c r="G338" s="607" t="s">
        <v>1886</v>
      </c>
      <c r="H338" s="24"/>
      <c r="L338" s="72"/>
    </row>
    <row r="339" spans="1:8" ht="25.5">
      <c r="A339" s="667">
        <v>7131338025</v>
      </c>
      <c r="B339" s="644" t="s">
        <v>555</v>
      </c>
      <c r="C339" s="645" t="s">
        <v>996</v>
      </c>
      <c r="D339" s="641">
        <v>57.4</v>
      </c>
      <c r="E339" s="644" t="s">
        <v>425</v>
      </c>
      <c r="F339" s="506"/>
      <c r="G339" s="15"/>
      <c r="H339" s="24"/>
    </row>
    <row r="340" spans="1:8" ht="18.75" customHeight="1">
      <c r="A340" s="643">
        <v>7131387501</v>
      </c>
      <c r="B340" s="644" t="s">
        <v>139</v>
      </c>
      <c r="C340" s="645" t="s">
        <v>996</v>
      </c>
      <c r="D340" s="641">
        <v>242.74</v>
      </c>
      <c r="E340" s="654"/>
      <c r="F340" s="325"/>
      <c r="G340" s="15"/>
      <c r="H340" s="24"/>
    </row>
    <row r="341" spans="1:8" ht="18.75" customHeight="1">
      <c r="A341" s="643">
        <v>7131387502</v>
      </c>
      <c r="B341" s="644" t="s">
        <v>142</v>
      </c>
      <c r="C341" s="645" t="s">
        <v>996</v>
      </c>
      <c r="D341" s="641">
        <v>480.25</v>
      </c>
      <c r="E341" s="646" t="s">
        <v>426</v>
      </c>
      <c r="F341" s="506"/>
      <c r="G341" s="15"/>
      <c r="H341" s="24"/>
    </row>
    <row r="342" spans="1:8" ht="18.75" customHeight="1">
      <c r="A342" s="643">
        <v>7131390014</v>
      </c>
      <c r="B342" s="644" t="s">
        <v>168</v>
      </c>
      <c r="C342" s="645" t="s">
        <v>996</v>
      </c>
      <c r="D342" s="641">
        <v>185.97</v>
      </c>
      <c r="E342" s="642"/>
      <c r="F342" s="33"/>
      <c r="G342" s="15"/>
      <c r="H342" s="24"/>
    </row>
    <row r="343" spans="1:8" ht="18.75" customHeight="1">
      <c r="A343" s="643">
        <v>7131390015</v>
      </c>
      <c r="B343" s="644" t="s">
        <v>169</v>
      </c>
      <c r="C343" s="645" t="s">
        <v>996</v>
      </c>
      <c r="D343" s="641">
        <v>32.16</v>
      </c>
      <c r="E343" s="642"/>
      <c r="F343" s="33"/>
      <c r="G343" s="15"/>
      <c r="H343" s="24"/>
    </row>
    <row r="344" spans="1:8" ht="18.75" customHeight="1">
      <c r="A344" s="643">
        <v>7131390016</v>
      </c>
      <c r="B344" s="644" t="s">
        <v>1209</v>
      </c>
      <c r="C344" s="645" t="s">
        <v>996</v>
      </c>
      <c r="D344" s="641">
        <v>450.51</v>
      </c>
      <c r="E344" s="642"/>
      <c r="F344" s="33"/>
      <c r="G344" s="15"/>
      <c r="H344" s="24"/>
    </row>
    <row r="345" spans="1:7" ht="18.75" customHeight="1">
      <c r="A345" s="638">
        <v>7131820031</v>
      </c>
      <c r="B345" s="639" t="s">
        <v>315</v>
      </c>
      <c r="C345" s="640" t="s">
        <v>926</v>
      </c>
      <c r="D345" s="641">
        <v>103.08</v>
      </c>
      <c r="E345" s="642"/>
      <c r="F345" s="33"/>
      <c r="G345" s="15"/>
    </row>
    <row r="346" spans="1:7" ht="25.5">
      <c r="A346" s="638">
        <v>7131820032</v>
      </c>
      <c r="B346" s="639" t="s">
        <v>316</v>
      </c>
      <c r="C346" s="640" t="s">
        <v>926</v>
      </c>
      <c r="D346" s="641">
        <v>103.08</v>
      </c>
      <c r="E346" s="644" t="s">
        <v>427</v>
      </c>
      <c r="F346" s="325"/>
      <c r="G346" s="15"/>
    </row>
    <row r="347" spans="1:7" ht="15" customHeight="1">
      <c r="A347" s="638">
        <v>7131820033</v>
      </c>
      <c r="B347" s="639" t="s">
        <v>318</v>
      </c>
      <c r="C347" s="640" t="s">
        <v>926</v>
      </c>
      <c r="D347" s="641">
        <v>436.86</v>
      </c>
      <c r="E347" s="654"/>
      <c r="F347" s="325"/>
      <c r="G347" s="15"/>
    </row>
    <row r="348" spans="1:7" ht="15" customHeight="1">
      <c r="A348" s="638">
        <v>7131820034</v>
      </c>
      <c r="B348" s="639" t="s">
        <v>317</v>
      </c>
      <c r="C348" s="640" t="s">
        <v>926</v>
      </c>
      <c r="D348" s="641">
        <v>436.86</v>
      </c>
      <c r="E348" s="654"/>
      <c r="F348" s="325"/>
      <c r="G348" s="15"/>
    </row>
    <row r="349" spans="1:7" ht="25.5" customHeight="1">
      <c r="A349" s="638">
        <v>7131820035</v>
      </c>
      <c r="B349" s="639" t="s">
        <v>319</v>
      </c>
      <c r="C349" s="640" t="s">
        <v>926</v>
      </c>
      <c r="D349" s="641">
        <v>2910.04</v>
      </c>
      <c r="E349" s="654"/>
      <c r="F349" s="325"/>
      <c r="G349" s="15"/>
    </row>
    <row r="350" spans="1:7" ht="25.5">
      <c r="A350" s="638">
        <v>7131820036</v>
      </c>
      <c r="B350" s="639" t="s">
        <v>320</v>
      </c>
      <c r="C350" s="640" t="s">
        <v>926</v>
      </c>
      <c r="D350" s="641">
        <v>3152.97</v>
      </c>
      <c r="E350" s="654"/>
      <c r="F350" s="325"/>
      <c r="G350" s="15"/>
    </row>
    <row r="351" spans="1:7" ht="25.5">
      <c r="A351" s="638">
        <v>7131820037</v>
      </c>
      <c r="B351" s="639" t="s">
        <v>321</v>
      </c>
      <c r="C351" s="640" t="s">
        <v>926</v>
      </c>
      <c r="D351" s="641">
        <v>3152.97</v>
      </c>
      <c r="E351" s="654"/>
      <c r="F351" s="325"/>
      <c r="G351" s="15"/>
    </row>
    <row r="352" spans="1:7" ht="16.5" customHeight="1">
      <c r="A352" s="638">
        <v>7131820038</v>
      </c>
      <c r="B352" s="639" t="s">
        <v>322</v>
      </c>
      <c r="C352" s="640" t="s">
        <v>926</v>
      </c>
      <c r="D352" s="641">
        <v>2303.75</v>
      </c>
      <c r="E352" s="654"/>
      <c r="F352" s="325"/>
      <c r="G352" s="15"/>
    </row>
    <row r="353" spans="1:7" ht="25.5">
      <c r="A353" s="638">
        <v>7131820039</v>
      </c>
      <c r="B353" s="639" t="s">
        <v>323</v>
      </c>
      <c r="C353" s="640" t="s">
        <v>926</v>
      </c>
      <c r="D353" s="641">
        <v>5275.03</v>
      </c>
      <c r="E353" s="644" t="s">
        <v>428</v>
      </c>
      <c r="F353" s="506"/>
      <c r="G353" s="15"/>
    </row>
    <row r="354" spans="1:7" ht="25.5">
      <c r="A354" s="647">
        <v>7131900004</v>
      </c>
      <c r="B354" s="639" t="s">
        <v>809</v>
      </c>
      <c r="C354" s="640" t="s">
        <v>926</v>
      </c>
      <c r="D354" s="641">
        <v>722.16</v>
      </c>
      <c r="E354" s="646" t="s">
        <v>429</v>
      </c>
      <c r="F354" s="506"/>
      <c r="G354" s="603" t="s">
        <v>1863</v>
      </c>
    </row>
    <row r="355" spans="1:8" ht="25.5">
      <c r="A355" s="638">
        <v>7131900033</v>
      </c>
      <c r="B355" s="644" t="s">
        <v>324</v>
      </c>
      <c r="C355" s="640" t="s">
        <v>749</v>
      </c>
      <c r="D355" s="641">
        <v>7.46</v>
      </c>
      <c r="E355" s="644" t="s">
        <v>28</v>
      </c>
      <c r="F355" s="506"/>
      <c r="G355" s="15"/>
      <c r="H355" s="24"/>
    </row>
    <row r="356" spans="1:7" ht="17.25" customHeight="1">
      <c r="A356" s="638">
        <v>7131900071</v>
      </c>
      <c r="B356" s="639" t="s">
        <v>1153</v>
      </c>
      <c r="C356" s="640" t="s">
        <v>926</v>
      </c>
      <c r="D356" s="641">
        <v>299.63</v>
      </c>
      <c r="E356" s="646" t="s">
        <v>29</v>
      </c>
      <c r="F356" s="506"/>
      <c r="G356" s="15"/>
    </row>
    <row r="357" spans="1:7" ht="17.25" customHeight="1">
      <c r="A357" s="638">
        <v>7131900072</v>
      </c>
      <c r="B357" s="639" t="s">
        <v>1154</v>
      </c>
      <c r="C357" s="640" t="s">
        <v>926</v>
      </c>
      <c r="D357" s="641">
        <v>460.65</v>
      </c>
      <c r="E357" s="646" t="s">
        <v>30</v>
      </c>
      <c r="F357" s="506"/>
      <c r="G357" s="15"/>
    </row>
    <row r="358" spans="1:8" ht="25.5">
      <c r="A358" s="638">
        <v>7131900625</v>
      </c>
      <c r="B358" s="644" t="s">
        <v>1156</v>
      </c>
      <c r="C358" s="640" t="s">
        <v>749</v>
      </c>
      <c r="D358" s="641">
        <v>12.78</v>
      </c>
      <c r="E358" s="644" t="s">
        <v>31</v>
      </c>
      <c r="F358" s="506"/>
      <c r="G358" s="15"/>
      <c r="H358" s="24"/>
    </row>
    <row r="359" spans="1:8" ht="25.5">
      <c r="A359" s="638">
        <v>7131900650</v>
      </c>
      <c r="B359" s="644" t="s">
        <v>1157</v>
      </c>
      <c r="C359" s="640" t="s">
        <v>749</v>
      </c>
      <c r="D359" s="641">
        <v>13.85</v>
      </c>
      <c r="E359" s="644" t="s">
        <v>32</v>
      </c>
      <c r="F359" s="506"/>
      <c r="G359" s="15"/>
      <c r="H359" s="24"/>
    </row>
    <row r="360" spans="1:7" ht="18" customHeight="1">
      <c r="A360" s="647">
        <v>7131900876</v>
      </c>
      <c r="B360" s="639" t="s">
        <v>184</v>
      </c>
      <c r="C360" s="640" t="s">
        <v>926</v>
      </c>
      <c r="D360" s="641">
        <v>295.38</v>
      </c>
      <c r="E360" s="646" t="s">
        <v>33</v>
      </c>
      <c r="F360" s="506"/>
      <c r="G360" s="15"/>
    </row>
    <row r="361" spans="1:7" ht="18.75" customHeight="1">
      <c r="A361" s="638">
        <v>7131900876</v>
      </c>
      <c r="B361" s="639" t="s">
        <v>1155</v>
      </c>
      <c r="C361" s="640" t="s">
        <v>926</v>
      </c>
      <c r="D361" s="641">
        <v>115.17</v>
      </c>
      <c r="E361" s="646" t="s">
        <v>33</v>
      </c>
      <c r="F361" s="506"/>
      <c r="G361" s="15"/>
    </row>
    <row r="362" spans="1:7" ht="16.5" customHeight="1">
      <c r="A362" s="647">
        <v>7131900880</v>
      </c>
      <c r="B362" s="639" t="s">
        <v>1158</v>
      </c>
      <c r="C362" s="640" t="s">
        <v>926</v>
      </c>
      <c r="D362" s="641">
        <v>742.17</v>
      </c>
      <c r="E362" s="646" t="s">
        <v>841</v>
      </c>
      <c r="F362" s="506"/>
      <c r="G362" s="15"/>
    </row>
    <row r="363" spans="1:7" ht="17.25" customHeight="1">
      <c r="A363" s="647">
        <v>7131900881</v>
      </c>
      <c r="B363" s="639" t="s">
        <v>185</v>
      </c>
      <c r="C363" s="640" t="s">
        <v>926</v>
      </c>
      <c r="D363" s="641">
        <v>821.08</v>
      </c>
      <c r="E363" s="646" t="s">
        <v>842</v>
      </c>
      <c r="F363" s="506"/>
      <c r="G363" s="15"/>
    </row>
    <row r="364" spans="1:7" ht="25.5">
      <c r="A364" s="640">
        <v>7131900969</v>
      </c>
      <c r="B364" s="644" t="s">
        <v>186</v>
      </c>
      <c r="C364" s="640" t="s">
        <v>907</v>
      </c>
      <c r="D364" s="641">
        <v>577.24</v>
      </c>
      <c r="E364" s="644" t="s">
        <v>843</v>
      </c>
      <c r="F364" s="506"/>
      <c r="G364" s="15"/>
    </row>
    <row r="365" spans="1:7" ht="25.5">
      <c r="A365" s="640">
        <v>7131900971</v>
      </c>
      <c r="B365" s="644" t="s">
        <v>187</v>
      </c>
      <c r="C365" s="640" t="s">
        <v>907</v>
      </c>
      <c r="D365" s="641">
        <v>577.24</v>
      </c>
      <c r="E365" s="644" t="s">
        <v>844</v>
      </c>
      <c r="F365" s="506"/>
      <c r="G365" s="15"/>
    </row>
    <row r="366" spans="1:7" ht="25.5">
      <c r="A366" s="640">
        <v>7131900973</v>
      </c>
      <c r="B366" s="644" t="s">
        <v>188</v>
      </c>
      <c r="C366" s="640" t="s">
        <v>907</v>
      </c>
      <c r="D366" s="641">
        <v>577.24</v>
      </c>
      <c r="E366" s="644" t="s">
        <v>845</v>
      </c>
      <c r="F366" s="506"/>
      <c r="G366" s="15"/>
    </row>
    <row r="367" spans="1:7" ht="25.5">
      <c r="A367" s="640">
        <v>7131900975</v>
      </c>
      <c r="B367" s="644" t="s">
        <v>396</v>
      </c>
      <c r="C367" s="640" t="s">
        <v>907</v>
      </c>
      <c r="D367" s="641">
        <v>577.24</v>
      </c>
      <c r="E367" s="644" t="s">
        <v>846</v>
      </c>
      <c r="F367" s="506"/>
      <c r="G367" s="15"/>
    </row>
    <row r="368" spans="1:7" ht="25.5">
      <c r="A368" s="640">
        <v>7131900977</v>
      </c>
      <c r="B368" s="644" t="s">
        <v>397</v>
      </c>
      <c r="C368" s="640" t="s">
        <v>907</v>
      </c>
      <c r="D368" s="641">
        <v>577.24</v>
      </c>
      <c r="E368" s="644" t="s">
        <v>847</v>
      </c>
      <c r="F368" s="506"/>
      <c r="G368" s="15"/>
    </row>
    <row r="369" spans="1:7" ht="25.5">
      <c r="A369" s="640">
        <v>7131900979</v>
      </c>
      <c r="B369" s="644" t="s">
        <v>1159</v>
      </c>
      <c r="C369" s="640" t="s">
        <v>907</v>
      </c>
      <c r="D369" s="641">
        <v>577.24</v>
      </c>
      <c r="E369" s="644" t="s">
        <v>848</v>
      </c>
      <c r="F369" s="506"/>
      <c r="G369" s="15"/>
    </row>
    <row r="370" spans="1:7" ht="25.5">
      <c r="A370" s="640">
        <v>7131900981</v>
      </c>
      <c r="B370" s="644" t="s">
        <v>1160</v>
      </c>
      <c r="C370" s="640" t="s">
        <v>907</v>
      </c>
      <c r="D370" s="641">
        <v>577.24</v>
      </c>
      <c r="E370" s="644" t="s">
        <v>45</v>
      </c>
      <c r="F370" s="506"/>
      <c r="G370" s="15"/>
    </row>
    <row r="371" spans="1:7" ht="25.5">
      <c r="A371" s="640">
        <v>7131900974</v>
      </c>
      <c r="B371" s="644" t="s">
        <v>1707</v>
      </c>
      <c r="C371" s="640" t="s">
        <v>907</v>
      </c>
      <c r="D371" s="641">
        <v>577.24</v>
      </c>
      <c r="E371" s="644" t="s">
        <v>1708</v>
      </c>
      <c r="F371" s="506"/>
      <c r="G371" s="586"/>
    </row>
    <row r="372" spans="1:7" ht="25.5">
      <c r="A372" s="647">
        <v>7131910653</v>
      </c>
      <c r="B372" s="639" t="s">
        <v>1161</v>
      </c>
      <c r="C372" s="640" t="s">
        <v>926</v>
      </c>
      <c r="D372" s="641">
        <v>44.41</v>
      </c>
      <c r="E372" s="644" t="s">
        <v>46</v>
      </c>
      <c r="F372" s="506"/>
      <c r="G372" s="15"/>
    </row>
    <row r="373" spans="1:7" ht="25.5">
      <c r="A373" s="647">
        <v>7131910654</v>
      </c>
      <c r="B373" s="639" t="s">
        <v>307</v>
      </c>
      <c r="C373" s="640" t="s">
        <v>926</v>
      </c>
      <c r="D373" s="641">
        <v>87.76</v>
      </c>
      <c r="E373" s="644" t="s">
        <v>47</v>
      </c>
      <c r="F373" s="506"/>
      <c r="G373" s="15"/>
    </row>
    <row r="374" spans="1:7" ht="25.5">
      <c r="A374" s="638">
        <v>7131910655</v>
      </c>
      <c r="B374" s="639" t="s">
        <v>1237</v>
      </c>
      <c r="C374" s="640" t="s">
        <v>926</v>
      </c>
      <c r="D374" s="641">
        <v>25.38</v>
      </c>
      <c r="E374" s="644" t="s">
        <v>408</v>
      </c>
      <c r="F374" s="506"/>
      <c r="G374" s="15"/>
    </row>
    <row r="375" spans="1:7" ht="25.5">
      <c r="A375" s="647">
        <v>7131910656</v>
      </c>
      <c r="B375" s="639" t="s">
        <v>1238</v>
      </c>
      <c r="C375" s="640" t="s">
        <v>926</v>
      </c>
      <c r="D375" s="641">
        <v>246.62</v>
      </c>
      <c r="E375" s="644" t="s">
        <v>1166</v>
      </c>
      <c r="F375" s="506"/>
      <c r="G375" s="15"/>
    </row>
    <row r="376" spans="1:7" ht="25.5">
      <c r="A376" s="647">
        <v>7131910657</v>
      </c>
      <c r="B376" s="639" t="s">
        <v>1239</v>
      </c>
      <c r="C376" s="640" t="s">
        <v>926</v>
      </c>
      <c r="D376" s="641">
        <v>474.95</v>
      </c>
      <c r="E376" s="644" t="s">
        <v>1167</v>
      </c>
      <c r="F376" s="506"/>
      <c r="G376" s="15"/>
    </row>
    <row r="377" spans="1:7" ht="25.5">
      <c r="A377" s="647">
        <v>7131910658</v>
      </c>
      <c r="B377" s="639" t="s">
        <v>1240</v>
      </c>
      <c r="C377" s="640" t="s">
        <v>926</v>
      </c>
      <c r="D377" s="641">
        <v>1052.32</v>
      </c>
      <c r="E377" s="644" t="s">
        <v>1168</v>
      </c>
      <c r="F377" s="506"/>
      <c r="G377" s="15"/>
    </row>
    <row r="378" spans="1:7" ht="25.5">
      <c r="A378" s="640">
        <v>7131920112</v>
      </c>
      <c r="B378" s="659" t="s">
        <v>810</v>
      </c>
      <c r="C378" s="640" t="s">
        <v>926</v>
      </c>
      <c r="D378" s="641">
        <v>315791</v>
      </c>
      <c r="E378" s="644" t="s">
        <v>1169</v>
      </c>
      <c r="F378" s="566"/>
      <c r="G378" s="15"/>
    </row>
    <row r="379" spans="1:7" ht="25.5">
      <c r="A379" s="647">
        <v>7131920253</v>
      </c>
      <c r="B379" s="639" t="s">
        <v>1241</v>
      </c>
      <c r="C379" s="640" t="s">
        <v>926</v>
      </c>
      <c r="D379" s="641">
        <v>755.6</v>
      </c>
      <c r="E379" s="644" t="s">
        <v>1170</v>
      </c>
      <c r="F379" s="506"/>
      <c r="G379" s="15"/>
    </row>
    <row r="380" spans="1:19" ht="25.5">
      <c r="A380" s="647">
        <v>7131920254</v>
      </c>
      <c r="B380" s="639" t="s">
        <v>1242</v>
      </c>
      <c r="C380" s="640" t="s">
        <v>926</v>
      </c>
      <c r="D380" s="641">
        <v>1814.36</v>
      </c>
      <c r="E380" s="644" t="s">
        <v>1171</v>
      </c>
      <c r="F380" s="506"/>
      <c r="G380" s="15"/>
      <c r="S380" s="1">
        <f>(13550-9794.56)/9794.56*100</f>
        <v>38.34210010454784</v>
      </c>
    </row>
    <row r="381" spans="1:19" ht="25.5">
      <c r="A381" s="647">
        <v>7131920256</v>
      </c>
      <c r="B381" s="639" t="s">
        <v>1243</v>
      </c>
      <c r="C381" s="640" t="s">
        <v>926</v>
      </c>
      <c r="D381" s="641">
        <v>3509.55</v>
      </c>
      <c r="E381" s="644" t="s">
        <v>1172</v>
      </c>
      <c r="F381" s="506"/>
      <c r="G381" s="15"/>
      <c r="S381" s="1">
        <f>(20500-15293.6)/15293.6*100</f>
        <v>34.04299837840665</v>
      </c>
    </row>
    <row r="382" spans="1:19" ht="25.5">
      <c r="A382" s="647">
        <v>7131920258</v>
      </c>
      <c r="B382" s="639" t="s">
        <v>1244</v>
      </c>
      <c r="C382" s="640" t="s">
        <v>926</v>
      </c>
      <c r="D382" s="641">
        <v>4927.03</v>
      </c>
      <c r="E382" s="644" t="s">
        <v>1173</v>
      </c>
      <c r="F382" s="506"/>
      <c r="G382" s="15"/>
      <c r="S382" s="1">
        <f>(33650-24258.16)/24258.16*100</f>
        <v>38.71620930853783</v>
      </c>
    </row>
    <row r="383" spans="1:19" ht="25.5">
      <c r="A383" s="647">
        <v>7131920259</v>
      </c>
      <c r="B383" s="639" t="s">
        <v>1245</v>
      </c>
      <c r="C383" s="640" t="s">
        <v>926</v>
      </c>
      <c r="D383" s="641">
        <v>6684.69</v>
      </c>
      <c r="E383" s="644" t="s">
        <v>1174</v>
      </c>
      <c r="F383" s="506"/>
      <c r="G383" s="15"/>
      <c r="S383" s="1">
        <f>(51000-30258)/30258*100</f>
        <v>68.55046599246481</v>
      </c>
    </row>
    <row r="384" spans="1:19" ht="25.5">
      <c r="A384" s="647">
        <v>7131920260</v>
      </c>
      <c r="B384" s="639" t="s">
        <v>1246</v>
      </c>
      <c r="C384" s="640" t="s">
        <v>926</v>
      </c>
      <c r="D384" s="641">
        <v>10097.04</v>
      </c>
      <c r="E384" s="644" t="s">
        <v>1175</v>
      </c>
      <c r="F384" s="506"/>
      <c r="G384" s="15"/>
      <c r="S384" s="1">
        <f>(67000-44299.43)/44299.43*100</f>
        <v>51.24348101092948</v>
      </c>
    </row>
    <row r="385" spans="1:7" ht="25.5">
      <c r="A385" s="638">
        <v>7131930109</v>
      </c>
      <c r="B385" s="639" t="s">
        <v>658</v>
      </c>
      <c r="C385" s="640" t="s">
        <v>926</v>
      </c>
      <c r="D385" s="641"/>
      <c r="E385" s="644" t="s">
        <v>1864</v>
      </c>
      <c r="F385" s="506"/>
      <c r="G385" s="600" t="s">
        <v>1829</v>
      </c>
    </row>
    <row r="386" spans="1:7" ht="25.5">
      <c r="A386" s="647">
        <v>7131930221</v>
      </c>
      <c r="B386" s="639" t="s">
        <v>1247</v>
      </c>
      <c r="C386" s="640" t="s">
        <v>926</v>
      </c>
      <c r="D386" s="641">
        <v>8496</v>
      </c>
      <c r="E386" s="644" t="s">
        <v>1017</v>
      </c>
      <c r="F386" s="506"/>
      <c r="G386" s="15"/>
    </row>
    <row r="387" spans="1:7" ht="25.5">
      <c r="A387" s="647">
        <v>7131930321</v>
      </c>
      <c r="B387" s="639" t="s">
        <v>1248</v>
      </c>
      <c r="C387" s="640" t="s">
        <v>926</v>
      </c>
      <c r="D387" s="641">
        <v>18863.48</v>
      </c>
      <c r="E387" s="644" t="s">
        <v>1018</v>
      </c>
      <c r="F387" s="506"/>
      <c r="G387" s="15"/>
    </row>
    <row r="388" spans="1:8" ht="12.75">
      <c r="A388" s="647">
        <v>7131930412</v>
      </c>
      <c r="B388" s="639" t="s">
        <v>1249</v>
      </c>
      <c r="C388" s="640" t="s">
        <v>926</v>
      </c>
      <c r="D388" s="641">
        <v>1177.88</v>
      </c>
      <c r="E388" s="646" t="s">
        <v>1019</v>
      </c>
      <c r="F388" s="506"/>
      <c r="G388" s="15"/>
      <c r="H388" s="24"/>
    </row>
    <row r="389" spans="1:8" ht="12.75">
      <c r="A389" s="647">
        <v>7131930415</v>
      </c>
      <c r="B389" s="639" t="s">
        <v>1250</v>
      </c>
      <c r="C389" s="640" t="s">
        <v>926</v>
      </c>
      <c r="D389" s="641">
        <v>2886.87</v>
      </c>
      <c r="E389" s="646" t="s">
        <v>1020</v>
      </c>
      <c r="F389" s="506"/>
      <c r="G389" s="15"/>
      <c r="H389" s="24"/>
    </row>
    <row r="390" spans="1:7" ht="25.5">
      <c r="A390" s="647">
        <v>7131930663</v>
      </c>
      <c r="B390" s="639" t="s">
        <v>657</v>
      </c>
      <c r="C390" s="640" t="s">
        <v>926</v>
      </c>
      <c r="D390" s="641">
        <v>22623.4</v>
      </c>
      <c r="E390" s="644" t="s">
        <v>1021</v>
      </c>
      <c r="F390" s="506"/>
      <c r="G390" s="15"/>
    </row>
    <row r="391" spans="1:7" ht="25.5">
      <c r="A391" s="647">
        <v>7131930752</v>
      </c>
      <c r="B391" s="639" t="s">
        <v>228</v>
      </c>
      <c r="C391" s="640" t="s">
        <v>926</v>
      </c>
      <c r="D391" s="641">
        <v>39152.26</v>
      </c>
      <c r="E391" s="644" t="s">
        <v>1022</v>
      </c>
      <c r="F391" s="506"/>
      <c r="G391" s="15"/>
    </row>
    <row r="392" spans="1:7" ht="42.75" customHeight="1">
      <c r="A392" s="687">
        <v>7131931091</v>
      </c>
      <c r="B392" s="671" t="s">
        <v>1382</v>
      </c>
      <c r="C392" s="688" t="s">
        <v>748</v>
      </c>
      <c r="D392" s="641">
        <v>27806.59</v>
      </c>
      <c r="E392" s="644"/>
      <c r="F392" s="506"/>
      <c r="G392" s="604" t="s">
        <v>1718</v>
      </c>
    </row>
    <row r="393" spans="1:7" ht="29.25" customHeight="1">
      <c r="A393" s="687">
        <v>7131931095</v>
      </c>
      <c r="B393" s="671" t="s">
        <v>1383</v>
      </c>
      <c r="C393" s="688" t="s">
        <v>748</v>
      </c>
      <c r="D393" s="641">
        <v>14225.81</v>
      </c>
      <c r="E393" s="644"/>
      <c r="F393" s="506"/>
      <c r="G393" s="604" t="s">
        <v>1718</v>
      </c>
    </row>
    <row r="394" spans="1:7" ht="25.5">
      <c r="A394" s="647">
        <v>7131940602</v>
      </c>
      <c r="B394" s="639" t="s">
        <v>1251</v>
      </c>
      <c r="C394" s="640" t="s">
        <v>926</v>
      </c>
      <c r="D394" s="641">
        <v>2425.2</v>
      </c>
      <c r="E394" s="644" t="s">
        <v>1023</v>
      </c>
      <c r="F394" s="325"/>
      <c r="G394" s="15"/>
    </row>
    <row r="395" spans="1:7" ht="25.5">
      <c r="A395" s="647">
        <v>7131940610</v>
      </c>
      <c r="B395" s="639" t="s">
        <v>1252</v>
      </c>
      <c r="C395" s="640" t="s">
        <v>926</v>
      </c>
      <c r="D395" s="641">
        <v>23039.46</v>
      </c>
      <c r="E395" s="644" t="s">
        <v>1024</v>
      </c>
      <c r="F395" s="325"/>
      <c r="G395" s="15"/>
    </row>
    <row r="396" spans="1:7" ht="18.75" customHeight="1">
      <c r="A396" s="647">
        <v>7131940612</v>
      </c>
      <c r="B396" s="639" t="s">
        <v>1253</v>
      </c>
      <c r="C396" s="640" t="s">
        <v>926</v>
      </c>
      <c r="D396" s="641">
        <v>23039.46</v>
      </c>
      <c r="E396" s="654"/>
      <c r="F396" s="325"/>
      <c r="G396" s="15"/>
    </row>
    <row r="397" spans="1:7" ht="28.5" customHeight="1">
      <c r="A397" s="647">
        <v>7131940871</v>
      </c>
      <c r="B397" s="671" t="s">
        <v>1384</v>
      </c>
      <c r="C397" s="688" t="s">
        <v>749</v>
      </c>
      <c r="D397" s="641">
        <v>46692.4</v>
      </c>
      <c r="E397" s="654"/>
      <c r="F397" s="325"/>
      <c r="G397" s="604" t="s">
        <v>1718</v>
      </c>
    </row>
    <row r="398" spans="1:7" ht="25.5">
      <c r="A398" s="647">
        <v>7131941762</v>
      </c>
      <c r="B398" s="659" t="s">
        <v>811</v>
      </c>
      <c r="C398" s="640" t="s">
        <v>926</v>
      </c>
      <c r="D398" s="641">
        <v>117747.13</v>
      </c>
      <c r="E398" s="644" t="s">
        <v>1025</v>
      </c>
      <c r="F398" s="506"/>
      <c r="G398" s="15"/>
    </row>
    <row r="399" spans="1:7" ht="25.5">
      <c r="A399" s="647">
        <v>7131943380</v>
      </c>
      <c r="B399" s="659" t="s">
        <v>569</v>
      </c>
      <c r="C399" s="640" t="s">
        <v>926</v>
      </c>
      <c r="D399" s="641">
        <v>235869.4</v>
      </c>
      <c r="E399" s="646" t="s">
        <v>1026</v>
      </c>
      <c r="F399" s="506"/>
      <c r="G399" s="15"/>
    </row>
    <row r="400" spans="1:8" ht="41.25" customHeight="1">
      <c r="A400" s="640">
        <v>7131950010</v>
      </c>
      <c r="B400" s="639" t="s">
        <v>25</v>
      </c>
      <c r="C400" s="640" t="s">
        <v>926</v>
      </c>
      <c r="D400" s="641">
        <v>990.47</v>
      </c>
      <c r="E400" s="644" t="s">
        <v>661</v>
      </c>
      <c r="F400" s="506"/>
      <c r="G400" s="15"/>
      <c r="H400" s="24"/>
    </row>
    <row r="401" spans="1:8" ht="38.25">
      <c r="A401" s="640">
        <v>7131950012</v>
      </c>
      <c r="B401" s="639" t="s">
        <v>69</v>
      </c>
      <c r="C401" s="640" t="s">
        <v>926</v>
      </c>
      <c r="D401" s="641">
        <v>1193.13</v>
      </c>
      <c r="E401" s="644" t="s">
        <v>764</v>
      </c>
      <c r="F401" s="506"/>
      <c r="G401" s="15"/>
      <c r="H401" s="24"/>
    </row>
    <row r="402" spans="1:8" ht="42" customHeight="1">
      <c r="A402" s="638">
        <v>7131950015</v>
      </c>
      <c r="B402" s="639" t="s">
        <v>997</v>
      </c>
      <c r="C402" s="640" t="s">
        <v>926</v>
      </c>
      <c r="D402" s="641">
        <v>40920.98</v>
      </c>
      <c r="E402" s="642"/>
      <c r="F402" s="33"/>
      <c r="G402" s="15"/>
      <c r="H402" s="24"/>
    </row>
    <row r="403" spans="1:7" ht="20.25" customHeight="1">
      <c r="A403" s="638">
        <v>7131950016</v>
      </c>
      <c r="B403" s="639" t="s">
        <v>656</v>
      </c>
      <c r="C403" s="640" t="s">
        <v>926</v>
      </c>
      <c r="D403" s="641">
        <v>351072.13</v>
      </c>
      <c r="E403" s="642"/>
      <c r="F403" s="33"/>
      <c r="G403" s="15"/>
    </row>
    <row r="404" spans="1:8" ht="42" customHeight="1">
      <c r="A404" s="647">
        <v>7131950065</v>
      </c>
      <c r="B404" s="639" t="s">
        <v>430</v>
      </c>
      <c r="C404" s="640" t="s">
        <v>926</v>
      </c>
      <c r="D404" s="641">
        <v>15292.16</v>
      </c>
      <c r="E404" s="644" t="s">
        <v>915</v>
      </c>
      <c r="F404" s="506"/>
      <c r="G404" s="15"/>
      <c r="H404" s="24"/>
    </row>
    <row r="405" spans="1:8" ht="40.5" customHeight="1">
      <c r="A405" s="640">
        <v>7131950105</v>
      </c>
      <c r="B405" s="639" t="s">
        <v>431</v>
      </c>
      <c r="C405" s="640" t="s">
        <v>926</v>
      </c>
      <c r="D405" s="641">
        <v>19116</v>
      </c>
      <c r="E405" s="644" t="s">
        <v>916</v>
      </c>
      <c r="F405" s="506"/>
      <c r="G405" s="15"/>
      <c r="H405" s="24"/>
    </row>
    <row r="406" spans="1:8" ht="29.25" customHeight="1">
      <c r="A406" s="647">
        <v>7131950200</v>
      </c>
      <c r="B406" s="639" t="s">
        <v>416</v>
      </c>
      <c r="C406" s="640" t="s">
        <v>926</v>
      </c>
      <c r="D406" s="641">
        <v>38230.4</v>
      </c>
      <c r="E406" s="644" t="s">
        <v>917</v>
      </c>
      <c r="F406" s="506"/>
      <c r="G406" s="15"/>
      <c r="H406" s="24"/>
    </row>
    <row r="407" spans="1:8" ht="29.25" customHeight="1">
      <c r="A407" s="647">
        <v>7131950207</v>
      </c>
      <c r="B407" s="639" t="s">
        <v>417</v>
      </c>
      <c r="C407" s="640" t="s">
        <v>926</v>
      </c>
      <c r="D407" s="641">
        <v>32804</v>
      </c>
      <c r="E407" s="644" t="s">
        <v>918</v>
      </c>
      <c r="F407" s="506"/>
      <c r="G407" s="15"/>
      <c r="H407" s="24"/>
    </row>
    <row r="408" spans="1:8" ht="29.25" customHeight="1">
      <c r="A408" s="640">
        <v>7131960006</v>
      </c>
      <c r="B408" s="659" t="s">
        <v>655</v>
      </c>
      <c r="C408" s="640" t="s">
        <v>926</v>
      </c>
      <c r="D408" s="641">
        <v>26222.61</v>
      </c>
      <c r="E408" s="644" t="s">
        <v>919</v>
      </c>
      <c r="F408" s="506"/>
      <c r="G408" s="15"/>
      <c r="H408" s="24"/>
    </row>
    <row r="409" spans="1:8" ht="25.5">
      <c r="A409" s="640">
        <v>7131960007</v>
      </c>
      <c r="B409" s="659" t="s">
        <v>571</v>
      </c>
      <c r="C409" s="640" t="s">
        <v>926</v>
      </c>
      <c r="D409" s="641">
        <v>28818.87</v>
      </c>
      <c r="E409" s="644" t="s">
        <v>373</v>
      </c>
      <c r="F409" s="506"/>
      <c r="G409" s="15"/>
      <c r="H409" s="24"/>
    </row>
    <row r="410" spans="1:8" ht="25.5">
      <c r="A410" s="647">
        <v>7131960008</v>
      </c>
      <c r="B410" s="639" t="s">
        <v>812</v>
      </c>
      <c r="C410" s="640" t="s">
        <v>926</v>
      </c>
      <c r="D410" s="641">
        <v>25950.06</v>
      </c>
      <c r="E410" s="644" t="s">
        <v>374</v>
      </c>
      <c r="F410" s="506"/>
      <c r="G410" s="15"/>
      <c r="H410" s="24"/>
    </row>
    <row r="411" spans="1:8" ht="25.5">
      <c r="A411" s="640">
        <v>7131960009</v>
      </c>
      <c r="B411" s="639" t="s">
        <v>813</v>
      </c>
      <c r="C411" s="640" t="s">
        <v>926</v>
      </c>
      <c r="D411" s="641">
        <v>27166.71</v>
      </c>
      <c r="E411" s="644" t="s">
        <v>375</v>
      </c>
      <c r="F411" s="506"/>
      <c r="G411" s="15"/>
      <c r="H411" s="24"/>
    </row>
    <row r="412" spans="1:8" ht="30" customHeight="1">
      <c r="A412" s="689">
        <v>7131960010</v>
      </c>
      <c r="B412" s="671" t="s">
        <v>1752</v>
      </c>
      <c r="C412" s="688" t="s">
        <v>926</v>
      </c>
      <c r="D412" s="641">
        <v>83478.19</v>
      </c>
      <c r="E412" s="644"/>
      <c r="F412" s="506"/>
      <c r="G412" s="604" t="s">
        <v>1718</v>
      </c>
      <c r="H412" s="24"/>
    </row>
    <row r="413" spans="1:8" ht="28.5" customHeight="1">
      <c r="A413" s="640">
        <v>7131960520</v>
      </c>
      <c r="B413" s="639" t="s">
        <v>814</v>
      </c>
      <c r="C413" s="640" t="s">
        <v>926</v>
      </c>
      <c r="D413" s="641">
        <v>38863.78</v>
      </c>
      <c r="E413" s="644" t="s">
        <v>1870</v>
      </c>
      <c r="F413" s="506"/>
      <c r="G413" s="15"/>
      <c r="H413" s="24"/>
    </row>
    <row r="414" spans="1:8" ht="28.5" customHeight="1">
      <c r="A414" s="640">
        <v>7131960522</v>
      </c>
      <c r="B414" s="639" t="s">
        <v>815</v>
      </c>
      <c r="C414" s="640" t="s">
        <v>926</v>
      </c>
      <c r="D414" s="641">
        <v>38863.78</v>
      </c>
      <c r="E414" s="644" t="s">
        <v>449</v>
      </c>
      <c r="F414" s="506"/>
      <c r="G414" s="15"/>
      <c r="H414" s="24"/>
    </row>
    <row r="415" spans="1:8" ht="28.5" customHeight="1">
      <c r="A415" s="640">
        <v>7131960524</v>
      </c>
      <c r="B415" s="639" t="s">
        <v>570</v>
      </c>
      <c r="C415" s="640" t="s">
        <v>926</v>
      </c>
      <c r="D415" s="641">
        <v>38863.78</v>
      </c>
      <c r="E415" s="644" t="s">
        <v>450</v>
      </c>
      <c r="F415" s="506"/>
      <c r="G415" s="15"/>
      <c r="H415" s="24"/>
    </row>
    <row r="416" spans="1:8" ht="44.25" customHeight="1">
      <c r="A416" s="643">
        <v>7132002234</v>
      </c>
      <c r="B416" s="644" t="s">
        <v>561</v>
      </c>
      <c r="C416" s="645" t="s">
        <v>996</v>
      </c>
      <c r="D416" s="641">
        <v>207.33</v>
      </c>
      <c r="E416" s="646"/>
      <c r="F416" s="506"/>
      <c r="G416" s="15"/>
      <c r="H416" s="24"/>
    </row>
    <row r="417" spans="1:8" ht="18.75" customHeight="1">
      <c r="A417" s="643">
        <v>7132004003</v>
      </c>
      <c r="B417" s="644" t="s">
        <v>551</v>
      </c>
      <c r="C417" s="645" t="s">
        <v>996</v>
      </c>
      <c r="D417" s="641">
        <v>133.73</v>
      </c>
      <c r="E417" s="646"/>
      <c r="F417" s="506"/>
      <c r="G417" s="15"/>
      <c r="H417" s="24"/>
    </row>
    <row r="418" spans="1:8" ht="18.75" customHeight="1">
      <c r="A418" s="643">
        <v>7132004004</v>
      </c>
      <c r="B418" s="644" t="s">
        <v>1302</v>
      </c>
      <c r="C418" s="645" t="s">
        <v>996</v>
      </c>
      <c r="D418" s="641">
        <v>11.23</v>
      </c>
      <c r="E418" s="646"/>
      <c r="F418" s="506"/>
      <c r="G418" s="15"/>
      <c r="H418" s="24"/>
    </row>
    <row r="419" spans="1:8" ht="18.75" customHeight="1">
      <c r="A419" s="643">
        <v>7132011171</v>
      </c>
      <c r="B419" s="644" t="s">
        <v>1869</v>
      </c>
      <c r="C419" s="645" t="s">
        <v>996</v>
      </c>
      <c r="D419" s="641">
        <v>493.04</v>
      </c>
      <c r="E419" s="646"/>
      <c r="F419" s="506"/>
      <c r="G419" s="604" t="s">
        <v>1718</v>
      </c>
      <c r="H419" s="24"/>
    </row>
    <row r="420" spans="1:7" ht="18.75" customHeight="1">
      <c r="A420" s="667">
        <v>7132013331</v>
      </c>
      <c r="B420" s="644" t="s">
        <v>554</v>
      </c>
      <c r="C420" s="645" t="s">
        <v>996</v>
      </c>
      <c r="D420" s="641">
        <v>477.62</v>
      </c>
      <c r="E420" s="646" t="s">
        <v>451</v>
      </c>
      <c r="F420" s="506"/>
      <c r="G420" s="15"/>
    </row>
    <row r="421" spans="1:8" ht="18.75" customHeight="1">
      <c r="A421" s="643">
        <v>7132014014</v>
      </c>
      <c r="B421" s="644" t="s">
        <v>143</v>
      </c>
      <c r="C421" s="645" t="s">
        <v>996</v>
      </c>
      <c r="D421" s="641">
        <v>3034.29</v>
      </c>
      <c r="E421" s="646"/>
      <c r="F421" s="506"/>
      <c r="G421" s="15"/>
      <c r="H421" s="24"/>
    </row>
    <row r="422" spans="1:8" ht="18.75" customHeight="1">
      <c r="A422" s="643">
        <v>7132028159</v>
      </c>
      <c r="B422" s="644" t="s">
        <v>559</v>
      </c>
      <c r="C422" s="645" t="s">
        <v>996</v>
      </c>
      <c r="D422" s="641">
        <v>1111.44</v>
      </c>
      <c r="E422" s="646"/>
      <c r="F422" s="506"/>
      <c r="G422" s="15"/>
      <c r="H422" s="24"/>
    </row>
    <row r="423" spans="1:8" ht="20.25" customHeight="1">
      <c r="A423" s="643">
        <v>7132028160</v>
      </c>
      <c r="B423" s="644" t="s">
        <v>560</v>
      </c>
      <c r="C423" s="645" t="s">
        <v>996</v>
      </c>
      <c r="D423" s="641">
        <v>343.89</v>
      </c>
      <c r="E423" s="646"/>
      <c r="F423" s="506"/>
      <c r="G423" s="15"/>
      <c r="H423" s="24"/>
    </row>
    <row r="424" spans="1:8" ht="25.5">
      <c r="A424" s="667">
        <v>7132061858</v>
      </c>
      <c r="B424" s="644" t="s">
        <v>21</v>
      </c>
      <c r="C424" s="645" t="s">
        <v>996</v>
      </c>
      <c r="D424" s="641">
        <v>229.58</v>
      </c>
      <c r="E424" s="644" t="s">
        <v>452</v>
      </c>
      <c r="F424" s="506"/>
      <c r="G424" s="15"/>
      <c r="H424" s="24"/>
    </row>
    <row r="425" spans="1:8" ht="20.25" customHeight="1">
      <c r="A425" s="643">
        <v>7132072006</v>
      </c>
      <c r="B425" s="644" t="s">
        <v>556</v>
      </c>
      <c r="C425" s="645" t="s">
        <v>996</v>
      </c>
      <c r="D425" s="641">
        <v>73.8</v>
      </c>
      <c r="E425" s="646" t="s">
        <v>453</v>
      </c>
      <c r="F425" s="506"/>
      <c r="G425" s="15"/>
      <c r="H425" s="24"/>
    </row>
    <row r="426" spans="1:8" ht="20.25" customHeight="1">
      <c r="A426" s="643">
        <v>7132072007</v>
      </c>
      <c r="B426" s="644" t="s">
        <v>557</v>
      </c>
      <c r="C426" s="645" t="s">
        <v>996</v>
      </c>
      <c r="D426" s="641">
        <v>69.11</v>
      </c>
      <c r="E426" s="646" t="s">
        <v>454</v>
      </c>
      <c r="F426" s="506"/>
      <c r="G426" s="15"/>
      <c r="H426" s="24"/>
    </row>
    <row r="427" spans="1:8" ht="18.75" customHeight="1">
      <c r="A427" s="643">
        <v>7132072008</v>
      </c>
      <c r="B427" s="644" t="s">
        <v>558</v>
      </c>
      <c r="C427" s="645" t="s">
        <v>996</v>
      </c>
      <c r="D427" s="641">
        <v>64.43</v>
      </c>
      <c r="E427" s="646" t="s">
        <v>1142</v>
      </c>
      <c r="F427" s="506"/>
      <c r="G427" s="15"/>
      <c r="H427" s="24"/>
    </row>
    <row r="428" spans="1:8" ht="25.5">
      <c r="A428" s="667">
        <v>7132072522</v>
      </c>
      <c r="B428" s="644" t="s">
        <v>1813</v>
      </c>
      <c r="C428" s="645" t="s">
        <v>996</v>
      </c>
      <c r="D428" s="641"/>
      <c r="E428" s="644" t="s">
        <v>1921</v>
      </c>
      <c r="F428" s="506"/>
      <c r="G428" s="600" t="s">
        <v>1829</v>
      </c>
      <c r="H428" s="24"/>
    </row>
    <row r="429" spans="1:8" ht="42.75" customHeight="1">
      <c r="A429" s="643">
        <v>7132074032</v>
      </c>
      <c r="B429" s="644" t="s">
        <v>862</v>
      </c>
      <c r="C429" s="645" t="s">
        <v>831</v>
      </c>
      <c r="D429" s="641">
        <v>1607.09</v>
      </c>
      <c r="E429" s="646" t="s">
        <v>1143</v>
      </c>
      <c r="F429" s="506"/>
      <c r="H429" s="24"/>
    </row>
    <row r="430" spans="1:8" ht="15.75" customHeight="1">
      <c r="A430" s="643">
        <v>7132074033</v>
      </c>
      <c r="B430" s="644" t="s">
        <v>863</v>
      </c>
      <c r="C430" s="645" t="s">
        <v>831</v>
      </c>
      <c r="D430" s="641">
        <v>664.15</v>
      </c>
      <c r="E430" s="646"/>
      <c r="F430" s="506"/>
      <c r="H430" s="24"/>
    </row>
    <row r="431" spans="1:8" ht="42.75" customHeight="1">
      <c r="A431" s="643">
        <v>7132074034</v>
      </c>
      <c r="B431" s="644" t="s">
        <v>550</v>
      </c>
      <c r="C431" s="645" t="s">
        <v>831</v>
      </c>
      <c r="D431" s="641">
        <v>760.2</v>
      </c>
      <c r="E431" s="646" t="s">
        <v>1144</v>
      </c>
      <c r="F431" s="506"/>
      <c r="H431" s="24"/>
    </row>
    <row r="432" spans="1:8" ht="27.75" customHeight="1">
      <c r="A432" s="643">
        <v>7132074035</v>
      </c>
      <c r="B432" s="644" t="s">
        <v>1306</v>
      </c>
      <c r="C432" s="645" t="s">
        <v>996</v>
      </c>
      <c r="D432" s="641">
        <v>493.13</v>
      </c>
      <c r="E432" s="646"/>
      <c r="F432" s="506"/>
      <c r="H432" s="24"/>
    </row>
    <row r="433" spans="1:8" ht="28.5" customHeight="1">
      <c r="A433" s="643">
        <v>7132074036</v>
      </c>
      <c r="B433" s="644" t="s">
        <v>817</v>
      </c>
      <c r="C433" s="645" t="s">
        <v>831</v>
      </c>
      <c r="D433" s="641">
        <v>1464.18</v>
      </c>
      <c r="E433" s="646" t="s">
        <v>1145</v>
      </c>
      <c r="F433" s="506"/>
      <c r="H433" s="24"/>
    </row>
    <row r="434" spans="1:8" ht="16.5" customHeight="1">
      <c r="A434" s="643">
        <v>7132088614</v>
      </c>
      <c r="B434" s="644" t="s">
        <v>864</v>
      </c>
      <c r="C434" s="645" t="s">
        <v>996</v>
      </c>
      <c r="D434" s="641">
        <v>1220.46</v>
      </c>
      <c r="E434" s="646"/>
      <c r="F434" s="506"/>
      <c r="H434" s="24"/>
    </row>
    <row r="435" spans="1:8" ht="15.75" customHeight="1">
      <c r="A435" s="643">
        <v>7132088615</v>
      </c>
      <c r="B435" s="644" t="s">
        <v>865</v>
      </c>
      <c r="C435" s="645" t="s">
        <v>996</v>
      </c>
      <c r="D435" s="641">
        <v>669.79</v>
      </c>
      <c r="E435" s="646"/>
      <c r="F435" s="506"/>
      <c r="H435" s="24"/>
    </row>
    <row r="436" spans="1:6" ht="40.5" customHeight="1">
      <c r="A436" s="638">
        <v>7132200014</v>
      </c>
      <c r="B436" s="639" t="s">
        <v>233</v>
      </c>
      <c r="C436" s="640" t="s">
        <v>926</v>
      </c>
      <c r="D436" s="641">
        <v>141355.63</v>
      </c>
      <c r="E436" s="646" t="s">
        <v>1146</v>
      </c>
      <c r="F436" s="506"/>
    </row>
    <row r="437" spans="1:6" ht="27.75" customHeight="1">
      <c r="A437" s="640">
        <v>7132200812</v>
      </c>
      <c r="B437" s="639" t="s">
        <v>229</v>
      </c>
      <c r="C437" s="640" t="s">
        <v>926</v>
      </c>
      <c r="D437" s="641">
        <v>1561.71</v>
      </c>
      <c r="E437" s="644" t="s">
        <v>1147</v>
      </c>
      <c r="F437" s="506"/>
    </row>
    <row r="438" spans="1:6" ht="27.75" customHeight="1">
      <c r="A438" s="640">
        <v>7132200813</v>
      </c>
      <c r="B438" s="639" t="s">
        <v>230</v>
      </c>
      <c r="C438" s="640" t="s">
        <v>926</v>
      </c>
      <c r="D438" s="641">
        <v>3122.45</v>
      </c>
      <c r="E438" s="644" t="s">
        <v>1147</v>
      </c>
      <c r="F438" s="506"/>
    </row>
    <row r="439" spans="1:6" ht="25.5">
      <c r="A439" s="640">
        <v>7132200814</v>
      </c>
      <c r="B439" s="639" t="s">
        <v>231</v>
      </c>
      <c r="C439" s="640" t="s">
        <v>926</v>
      </c>
      <c r="D439" s="641">
        <v>3751.83</v>
      </c>
      <c r="E439" s="644" t="s">
        <v>1147</v>
      </c>
      <c r="F439" s="506"/>
    </row>
    <row r="440" spans="1:6" ht="25.5">
      <c r="A440" s="640">
        <v>7132200815</v>
      </c>
      <c r="B440" s="639" t="s">
        <v>232</v>
      </c>
      <c r="C440" s="640" t="s">
        <v>926</v>
      </c>
      <c r="D440" s="641">
        <v>6226.32</v>
      </c>
      <c r="E440" s="644" t="s">
        <v>1147</v>
      </c>
      <c r="F440" s="506"/>
    </row>
    <row r="441" spans="1:6" ht="119.25" customHeight="1">
      <c r="A441" s="647">
        <v>7132200826</v>
      </c>
      <c r="B441" s="639" t="s">
        <v>1101</v>
      </c>
      <c r="C441" s="640" t="s">
        <v>926</v>
      </c>
      <c r="D441" s="641">
        <v>186917.23</v>
      </c>
      <c r="E441" s="644" t="s">
        <v>1148</v>
      </c>
      <c r="F441" s="506"/>
    </row>
    <row r="442" spans="1:8" ht="25.5">
      <c r="A442" s="645">
        <v>7132210007</v>
      </c>
      <c r="B442" s="639" t="s">
        <v>630</v>
      </c>
      <c r="C442" s="640" t="s">
        <v>926</v>
      </c>
      <c r="D442" s="641"/>
      <c r="E442" s="644" t="s">
        <v>1149</v>
      </c>
      <c r="F442" s="506"/>
      <c r="G442" s="594" t="s">
        <v>1829</v>
      </c>
      <c r="H442" s="59"/>
    </row>
    <row r="443" spans="1:8" ht="25.5">
      <c r="A443" s="645">
        <v>7132210008</v>
      </c>
      <c r="B443" s="639" t="s">
        <v>631</v>
      </c>
      <c r="C443" s="640" t="s">
        <v>926</v>
      </c>
      <c r="D443" s="641"/>
      <c r="E443" s="644" t="s">
        <v>1150</v>
      </c>
      <c r="F443" s="506"/>
      <c r="G443" s="594" t="s">
        <v>1829</v>
      </c>
      <c r="H443" s="59"/>
    </row>
    <row r="444" spans="1:8" ht="25.5">
      <c r="A444" s="645">
        <v>7132210009</v>
      </c>
      <c r="B444" s="639" t="s">
        <v>632</v>
      </c>
      <c r="C444" s="640" t="s">
        <v>926</v>
      </c>
      <c r="D444" s="641"/>
      <c r="E444" s="644" t="s">
        <v>1151</v>
      </c>
      <c r="F444" s="506"/>
      <c r="G444" s="594" t="s">
        <v>1829</v>
      </c>
      <c r="H444" s="50"/>
    </row>
    <row r="445" spans="1:8" ht="25.5">
      <c r="A445" s="645">
        <v>7132210010</v>
      </c>
      <c r="B445" s="639" t="s">
        <v>633</v>
      </c>
      <c r="C445" s="640" t="s">
        <v>926</v>
      </c>
      <c r="D445" s="641"/>
      <c r="E445" s="644" t="s">
        <v>1001</v>
      </c>
      <c r="F445" s="506"/>
      <c r="G445" s="594" t="s">
        <v>1829</v>
      </c>
      <c r="H445" s="50"/>
    </row>
    <row r="446" spans="1:8" ht="25.5">
      <c r="A446" s="645">
        <v>7132210011</v>
      </c>
      <c r="B446" s="639" t="s">
        <v>634</v>
      </c>
      <c r="C446" s="640" t="s">
        <v>926</v>
      </c>
      <c r="D446" s="641"/>
      <c r="E446" s="644" t="s">
        <v>1002</v>
      </c>
      <c r="F446" s="506"/>
      <c r="G446" s="594" t="s">
        <v>1829</v>
      </c>
      <c r="H446" s="50"/>
    </row>
    <row r="447" spans="1:8" ht="54" customHeight="1">
      <c r="A447" s="645">
        <v>7132210012</v>
      </c>
      <c r="B447" s="639" t="s">
        <v>1759</v>
      </c>
      <c r="C447" s="640" t="s">
        <v>926</v>
      </c>
      <c r="D447" s="641"/>
      <c r="E447" s="644" t="s">
        <v>1003</v>
      </c>
      <c r="F447" s="507"/>
      <c r="G447" s="600" t="s">
        <v>1829</v>
      </c>
      <c r="H447" s="506"/>
    </row>
    <row r="448" spans="1:8" ht="51">
      <c r="A448" s="667">
        <v>7132210015</v>
      </c>
      <c r="B448" s="644" t="s">
        <v>1760</v>
      </c>
      <c r="C448" s="667" t="s">
        <v>926</v>
      </c>
      <c r="D448" s="641"/>
      <c r="E448" s="644" t="s">
        <v>531</v>
      </c>
      <c r="F448" s="507"/>
      <c r="G448" s="600" t="s">
        <v>1829</v>
      </c>
      <c r="H448" s="506"/>
    </row>
    <row r="449" spans="1:8" ht="25.5">
      <c r="A449" s="687">
        <v>7132210106</v>
      </c>
      <c r="B449" s="671" t="s">
        <v>1866</v>
      </c>
      <c r="C449" s="688" t="s">
        <v>748</v>
      </c>
      <c r="D449" s="641">
        <v>6864.39</v>
      </c>
      <c r="E449" s="644"/>
      <c r="F449" s="507"/>
      <c r="G449" s="604" t="s">
        <v>1718</v>
      </c>
      <c r="H449" s="506"/>
    </row>
    <row r="450" spans="1:8" ht="25.5">
      <c r="A450" s="687">
        <v>7132210108</v>
      </c>
      <c r="B450" s="671" t="s">
        <v>1867</v>
      </c>
      <c r="C450" s="688" t="s">
        <v>748</v>
      </c>
      <c r="D450" s="641">
        <v>8380.18</v>
      </c>
      <c r="E450" s="644"/>
      <c r="F450" s="507"/>
      <c r="G450" s="604" t="s">
        <v>1718</v>
      </c>
      <c r="H450" s="506"/>
    </row>
    <row r="451" spans="1:8" ht="23.25" customHeight="1">
      <c r="A451" s="640">
        <v>7132210215</v>
      </c>
      <c r="B451" s="639" t="s">
        <v>563</v>
      </c>
      <c r="C451" s="640" t="s">
        <v>926</v>
      </c>
      <c r="D451" s="641">
        <v>132374.78</v>
      </c>
      <c r="E451" s="646" t="s">
        <v>34</v>
      </c>
      <c r="F451" s="325"/>
      <c r="G451" s="50"/>
      <c r="H451" s="50"/>
    </row>
    <row r="452" spans="1:6" ht="25.5">
      <c r="A452" s="647">
        <v>7132220091</v>
      </c>
      <c r="B452" s="639" t="s">
        <v>438</v>
      </c>
      <c r="C452" s="640" t="s">
        <v>926</v>
      </c>
      <c r="D452" s="641">
        <v>780829.7</v>
      </c>
      <c r="E452" s="644" t="s">
        <v>35</v>
      </c>
      <c r="F452" s="506"/>
    </row>
    <row r="453" spans="1:6" ht="25.5">
      <c r="A453" s="647">
        <v>7132220095</v>
      </c>
      <c r="B453" s="639" t="s">
        <v>1307</v>
      </c>
      <c r="C453" s="640" t="s">
        <v>926</v>
      </c>
      <c r="D453" s="641">
        <v>2241066.5</v>
      </c>
      <c r="E453" s="644" t="s">
        <v>1006</v>
      </c>
      <c r="F453" s="506"/>
    </row>
    <row r="454" spans="1:6" ht="16.5" customHeight="1">
      <c r="A454" s="647">
        <v>7132220097</v>
      </c>
      <c r="B454" s="639" t="s">
        <v>1308</v>
      </c>
      <c r="C454" s="640" t="s">
        <v>926</v>
      </c>
      <c r="D454" s="641">
        <v>3165338.45</v>
      </c>
      <c r="E454" s="644" t="s">
        <v>1007</v>
      </c>
      <c r="F454" s="506"/>
    </row>
    <row r="455" spans="1:6" ht="25.5">
      <c r="A455" s="669">
        <v>7132230015</v>
      </c>
      <c r="B455" s="639" t="s">
        <v>1309</v>
      </c>
      <c r="C455" s="640" t="s">
        <v>926</v>
      </c>
      <c r="D455" s="641">
        <v>229882.12</v>
      </c>
      <c r="E455" s="644" t="s">
        <v>123</v>
      </c>
      <c r="F455" s="506"/>
    </row>
    <row r="456" spans="1:6" ht="18" customHeight="1">
      <c r="A456" s="647">
        <v>7132230016</v>
      </c>
      <c r="B456" s="639" t="s">
        <v>1310</v>
      </c>
      <c r="C456" s="640" t="s">
        <v>926</v>
      </c>
      <c r="D456" s="641">
        <v>345.07</v>
      </c>
      <c r="E456" s="646" t="s">
        <v>124</v>
      </c>
      <c r="F456" s="506"/>
    </row>
    <row r="457" spans="1:6" ht="25.5">
      <c r="A457" s="669">
        <v>7132230017</v>
      </c>
      <c r="B457" s="639" t="s">
        <v>363</v>
      </c>
      <c r="C457" s="640" t="s">
        <v>926</v>
      </c>
      <c r="D457" s="641">
        <v>212181.48</v>
      </c>
      <c r="E457" s="644" t="s">
        <v>125</v>
      </c>
      <c r="F457" s="506"/>
    </row>
    <row r="458" spans="1:6" ht="18" customHeight="1">
      <c r="A458" s="647">
        <v>7132230019</v>
      </c>
      <c r="B458" s="639" t="s">
        <v>1311</v>
      </c>
      <c r="C458" s="640" t="s">
        <v>926</v>
      </c>
      <c r="D458" s="641">
        <v>345.07</v>
      </c>
      <c r="E458" s="646" t="s">
        <v>126</v>
      </c>
      <c r="F458" s="506"/>
    </row>
    <row r="459" spans="1:6" ht="18" customHeight="1">
      <c r="A459" s="647">
        <v>7132230021</v>
      </c>
      <c r="B459" s="639" t="s">
        <v>1312</v>
      </c>
      <c r="C459" s="640" t="s">
        <v>926</v>
      </c>
      <c r="D459" s="641">
        <v>276.27</v>
      </c>
      <c r="E459" s="646" t="s">
        <v>127</v>
      </c>
      <c r="F459" s="506"/>
    </row>
    <row r="460" spans="1:6" ht="18" customHeight="1">
      <c r="A460" s="647">
        <v>7132230024</v>
      </c>
      <c r="B460" s="639" t="s">
        <v>1313</v>
      </c>
      <c r="C460" s="640" t="s">
        <v>926</v>
      </c>
      <c r="D460" s="641">
        <v>276.27</v>
      </c>
      <c r="E460" s="646" t="s">
        <v>128</v>
      </c>
      <c r="F460" s="506"/>
    </row>
    <row r="461" spans="1:6" ht="25.5">
      <c r="A461" s="640">
        <v>7132230039</v>
      </c>
      <c r="B461" s="644" t="s">
        <v>1851</v>
      </c>
      <c r="C461" s="640" t="s">
        <v>749</v>
      </c>
      <c r="D461" s="641">
        <v>584046.53</v>
      </c>
      <c r="E461" s="644" t="s">
        <v>129</v>
      </c>
      <c r="F461" s="506"/>
    </row>
    <row r="462" spans="1:6" ht="25.5">
      <c r="A462" s="640">
        <v>7132230043</v>
      </c>
      <c r="B462" s="639" t="s">
        <v>272</v>
      </c>
      <c r="C462" s="640" t="s">
        <v>926</v>
      </c>
      <c r="D462" s="641">
        <v>24401.32</v>
      </c>
      <c r="E462" s="646" t="s">
        <v>130</v>
      </c>
      <c r="F462" s="506"/>
    </row>
    <row r="463" spans="1:6" ht="25.5">
      <c r="A463" s="640">
        <v>7132230065</v>
      </c>
      <c r="B463" s="644" t="s">
        <v>1846</v>
      </c>
      <c r="C463" s="640" t="s">
        <v>749</v>
      </c>
      <c r="D463" s="641">
        <v>316935.3</v>
      </c>
      <c r="E463" s="644" t="s">
        <v>131</v>
      </c>
      <c r="F463" s="506"/>
    </row>
    <row r="464" spans="1:6" ht="17.25" customHeight="1">
      <c r="A464" s="640">
        <v>7132230075</v>
      </c>
      <c r="B464" s="644" t="s">
        <v>1843</v>
      </c>
      <c r="C464" s="640" t="s">
        <v>749</v>
      </c>
      <c r="D464" s="641">
        <v>361851.93</v>
      </c>
      <c r="E464" s="646" t="s">
        <v>132</v>
      </c>
      <c r="F464" s="506"/>
    </row>
    <row r="465" spans="1:6" ht="17.25" customHeight="1">
      <c r="A465" s="640">
        <v>7132230076</v>
      </c>
      <c r="B465" s="644" t="s">
        <v>1848</v>
      </c>
      <c r="C465" s="640" t="s">
        <v>749</v>
      </c>
      <c r="D465" s="641">
        <v>797258.43</v>
      </c>
      <c r="E465" s="646" t="s">
        <v>133</v>
      </c>
      <c r="F465" s="506"/>
    </row>
    <row r="466" spans="1:6" ht="17.25" customHeight="1">
      <c r="A466" s="640">
        <v>7132230077</v>
      </c>
      <c r="B466" s="644" t="s">
        <v>1849</v>
      </c>
      <c r="C466" s="640" t="s">
        <v>749</v>
      </c>
      <c r="D466" s="641">
        <v>521788.66</v>
      </c>
      <c r="E466" s="646" t="s">
        <v>38</v>
      </c>
      <c r="F466" s="506"/>
    </row>
    <row r="467" spans="1:6" ht="17.25" customHeight="1">
      <c r="A467" s="640">
        <v>7132230078</v>
      </c>
      <c r="B467" s="644" t="s">
        <v>1850</v>
      </c>
      <c r="C467" s="640" t="s">
        <v>749</v>
      </c>
      <c r="D467" s="641">
        <v>482699.81</v>
      </c>
      <c r="E467" s="646" t="s">
        <v>39</v>
      </c>
      <c r="F467" s="506"/>
    </row>
    <row r="468" spans="1:6" ht="17.25" customHeight="1">
      <c r="A468" s="638">
        <v>7132230088</v>
      </c>
      <c r="B468" s="639" t="s">
        <v>1333</v>
      </c>
      <c r="C468" s="640" t="s">
        <v>926</v>
      </c>
      <c r="D468" s="641">
        <v>36899.97</v>
      </c>
      <c r="E468" s="646"/>
      <c r="F468" s="506"/>
    </row>
    <row r="469" spans="1:6" ht="25.5">
      <c r="A469" s="638">
        <v>7132230089</v>
      </c>
      <c r="B469" s="639" t="s">
        <v>1334</v>
      </c>
      <c r="C469" s="640" t="s">
        <v>926</v>
      </c>
      <c r="D469" s="641">
        <v>83670.61</v>
      </c>
      <c r="E469" s="644" t="s">
        <v>40</v>
      </c>
      <c r="F469" s="506"/>
    </row>
    <row r="470" spans="1:6" ht="25.5">
      <c r="A470" s="647">
        <v>7132230185</v>
      </c>
      <c r="B470" s="639" t="s">
        <v>1335</v>
      </c>
      <c r="C470" s="640" t="s">
        <v>926</v>
      </c>
      <c r="D470" s="641">
        <v>12913.58</v>
      </c>
      <c r="E470" s="644" t="s">
        <v>41</v>
      </c>
      <c r="F470" s="506"/>
    </row>
    <row r="471" spans="1:6" ht="25.5">
      <c r="A471" s="647">
        <v>7132230188</v>
      </c>
      <c r="B471" s="639" t="s">
        <v>1336</v>
      </c>
      <c r="C471" s="640" t="s">
        <v>926</v>
      </c>
      <c r="D471" s="641">
        <v>13463.75</v>
      </c>
      <c r="E471" s="644" t="s">
        <v>42</v>
      </c>
      <c r="F471" s="506"/>
    </row>
    <row r="472" spans="1:6" ht="25.5">
      <c r="A472" s="647">
        <v>7132230263</v>
      </c>
      <c r="B472" s="639" t="s">
        <v>273</v>
      </c>
      <c r="C472" s="640" t="s">
        <v>926</v>
      </c>
      <c r="D472" s="641">
        <v>25367.66</v>
      </c>
      <c r="E472" s="644" t="s">
        <v>43</v>
      </c>
      <c r="F472" s="506"/>
    </row>
    <row r="473" spans="1:6" ht="25.5">
      <c r="A473" s="647">
        <v>7132230265</v>
      </c>
      <c r="B473" s="639" t="s">
        <v>274</v>
      </c>
      <c r="C473" s="640" t="s">
        <v>926</v>
      </c>
      <c r="D473" s="641">
        <v>19713.76</v>
      </c>
      <c r="E473" s="644" t="s">
        <v>44</v>
      </c>
      <c r="F473" s="506"/>
    </row>
    <row r="474" spans="1:7" ht="25.5">
      <c r="A474" s="647">
        <v>7132230304</v>
      </c>
      <c r="B474" s="639" t="s">
        <v>275</v>
      </c>
      <c r="C474" s="640" t="s">
        <v>926</v>
      </c>
      <c r="D474" s="641"/>
      <c r="E474" s="644" t="s">
        <v>119</v>
      </c>
      <c r="F474" s="506"/>
      <c r="G474" s="600" t="s">
        <v>1829</v>
      </c>
    </row>
    <row r="475" spans="1:6" ht="25.5">
      <c r="A475" s="640">
        <v>7132230330</v>
      </c>
      <c r="B475" s="644" t="s">
        <v>1844</v>
      </c>
      <c r="C475" s="640" t="s">
        <v>749</v>
      </c>
      <c r="D475" s="641">
        <v>358156.27</v>
      </c>
      <c r="E475" s="644" t="s">
        <v>884</v>
      </c>
      <c r="F475" s="506"/>
    </row>
    <row r="476" spans="1:6" ht="25.5">
      <c r="A476" s="640">
        <v>7132230332</v>
      </c>
      <c r="B476" s="644" t="s">
        <v>1845</v>
      </c>
      <c r="C476" s="640" t="s">
        <v>749</v>
      </c>
      <c r="D476" s="641">
        <v>331433.7</v>
      </c>
      <c r="E476" s="644" t="s">
        <v>885</v>
      </c>
      <c r="F476" s="506"/>
    </row>
    <row r="477" spans="1:6" ht="25.5">
      <c r="A477" s="640">
        <v>7132230336</v>
      </c>
      <c r="B477" s="644" t="s">
        <v>1847</v>
      </c>
      <c r="C477" s="640" t="s">
        <v>749</v>
      </c>
      <c r="D477" s="641">
        <v>290070.6</v>
      </c>
      <c r="E477" s="644" t="s">
        <v>886</v>
      </c>
      <c r="F477" s="506"/>
    </row>
    <row r="478" spans="1:7" ht="25.5">
      <c r="A478" s="647">
        <v>7132230394</v>
      </c>
      <c r="B478" s="639" t="s">
        <v>1337</v>
      </c>
      <c r="C478" s="640" t="s">
        <v>926</v>
      </c>
      <c r="D478" s="641"/>
      <c r="E478" s="644" t="s">
        <v>887</v>
      </c>
      <c r="F478" s="506"/>
      <c r="G478" s="600" t="s">
        <v>1829</v>
      </c>
    </row>
    <row r="479" spans="1:6" ht="25.5">
      <c r="A479" s="640">
        <v>7132230395</v>
      </c>
      <c r="B479" s="639" t="s">
        <v>1338</v>
      </c>
      <c r="C479" s="640" t="s">
        <v>926</v>
      </c>
      <c r="D479" s="641">
        <v>37970.88</v>
      </c>
      <c r="E479" s="644" t="s">
        <v>945</v>
      </c>
      <c r="F479" s="506"/>
    </row>
    <row r="480" spans="1:7" ht="25.5">
      <c r="A480" s="647">
        <v>7132230396</v>
      </c>
      <c r="B480" s="639" t="s">
        <v>1339</v>
      </c>
      <c r="C480" s="640" t="s">
        <v>926</v>
      </c>
      <c r="D480" s="641"/>
      <c r="E480" s="644" t="s">
        <v>946</v>
      </c>
      <c r="F480" s="506"/>
      <c r="G480" s="600" t="s">
        <v>1829</v>
      </c>
    </row>
    <row r="481" spans="1:6" ht="25.5">
      <c r="A481" s="647">
        <v>7132230399</v>
      </c>
      <c r="B481" s="639" t="s">
        <v>1340</v>
      </c>
      <c r="C481" s="640" t="s">
        <v>926</v>
      </c>
      <c r="D481" s="641">
        <v>36896.64</v>
      </c>
      <c r="E481" s="644" t="s">
        <v>947</v>
      </c>
      <c r="F481" s="506"/>
    </row>
    <row r="482" spans="1:6" ht="25.5">
      <c r="A482" s="647">
        <v>7132230401</v>
      </c>
      <c r="B482" s="639" t="s">
        <v>1341</v>
      </c>
      <c r="C482" s="640" t="s">
        <v>926</v>
      </c>
      <c r="D482" s="641">
        <v>37368.74</v>
      </c>
      <c r="E482" s="644" t="s">
        <v>948</v>
      </c>
      <c r="F482" s="506"/>
    </row>
    <row r="483" spans="1:7" ht="25.5">
      <c r="A483" s="647">
        <v>7132230406</v>
      </c>
      <c r="B483" s="639" t="s">
        <v>1342</v>
      </c>
      <c r="C483" s="640" t="s">
        <v>926</v>
      </c>
      <c r="D483" s="641"/>
      <c r="E483" s="644" t="s">
        <v>949</v>
      </c>
      <c r="F483" s="506"/>
      <c r="G483" s="600" t="s">
        <v>1829</v>
      </c>
    </row>
    <row r="484" spans="1:6" ht="25.5">
      <c r="A484" s="647">
        <v>7132230412</v>
      </c>
      <c r="B484" s="639" t="s">
        <v>1134</v>
      </c>
      <c r="C484" s="640" t="s">
        <v>926</v>
      </c>
      <c r="D484" s="641">
        <v>36485.4</v>
      </c>
      <c r="E484" s="644" t="s">
        <v>950</v>
      </c>
      <c r="F484" s="506"/>
    </row>
    <row r="485" spans="1:6" ht="25.5">
      <c r="A485" s="647">
        <v>7132230414</v>
      </c>
      <c r="B485" s="639" t="s">
        <v>1343</v>
      </c>
      <c r="C485" s="640" t="s">
        <v>926</v>
      </c>
      <c r="D485" s="641">
        <v>37635.9</v>
      </c>
      <c r="E485" s="644" t="s">
        <v>951</v>
      </c>
      <c r="F485" s="506"/>
    </row>
    <row r="486" spans="1:6" ht="25.5">
      <c r="A486" s="647">
        <v>7132230418</v>
      </c>
      <c r="B486" s="639" t="s">
        <v>1344</v>
      </c>
      <c r="C486" s="640" t="s">
        <v>926</v>
      </c>
      <c r="D486" s="641">
        <v>82470.05</v>
      </c>
      <c r="E486" s="644" t="s">
        <v>952</v>
      </c>
      <c r="F486" s="506"/>
    </row>
    <row r="487" spans="1:6" ht="25.5">
      <c r="A487" s="647">
        <v>7132230427</v>
      </c>
      <c r="B487" s="639" t="s">
        <v>1133</v>
      </c>
      <c r="C487" s="640" t="s">
        <v>926</v>
      </c>
      <c r="D487" s="641">
        <v>80471.17</v>
      </c>
      <c r="E487" s="644" t="s">
        <v>953</v>
      </c>
      <c r="F487" s="506"/>
    </row>
    <row r="488" spans="1:7" ht="25.5">
      <c r="A488" s="647">
        <v>7132230447</v>
      </c>
      <c r="B488" s="639" t="s">
        <v>1345</v>
      </c>
      <c r="C488" s="640" t="s">
        <v>926</v>
      </c>
      <c r="D488" s="641"/>
      <c r="E488" s="644" t="s">
        <v>954</v>
      </c>
      <c r="F488" s="506"/>
      <c r="G488" s="600" t="s">
        <v>1829</v>
      </c>
    </row>
    <row r="489" spans="1:6" ht="25.5">
      <c r="A489" s="647">
        <v>7132230448</v>
      </c>
      <c r="B489" s="639" t="s">
        <v>1346</v>
      </c>
      <c r="C489" s="640" t="s">
        <v>926</v>
      </c>
      <c r="D489" s="641">
        <v>86805.48</v>
      </c>
      <c r="E489" s="644" t="s">
        <v>955</v>
      </c>
      <c r="F489" s="506"/>
    </row>
    <row r="490" spans="1:7" ht="25.5">
      <c r="A490" s="647">
        <v>7132230449</v>
      </c>
      <c r="B490" s="639" t="s">
        <v>1347</v>
      </c>
      <c r="C490" s="640" t="s">
        <v>926</v>
      </c>
      <c r="D490" s="641"/>
      <c r="E490" s="644" t="s">
        <v>9</v>
      </c>
      <c r="F490" s="506"/>
      <c r="G490" s="600" t="s">
        <v>1829</v>
      </c>
    </row>
    <row r="491" spans="1:6" ht="25.5">
      <c r="A491" s="647">
        <v>7132230450</v>
      </c>
      <c r="B491" s="639" t="s">
        <v>1348</v>
      </c>
      <c r="C491" s="640" t="s">
        <v>926</v>
      </c>
      <c r="D491" s="641">
        <v>80181.91</v>
      </c>
      <c r="E491" s="644" t="s">
        <v>10</v>
      </c>
      <c r="F491" s="506"/>
    </row>
    <row r="492" spans="1:6" ht="25.5">
      <c r="A492" s="647">
        <v>7132230453</v>
      </c>
      <c r="B492" s="639" t="s">
        <v>1349</v>
      </c>
      <c r="C492" s="640" t="s">
        <v>926</v>
      </c>
      <c r="D492" s="641">
        <v>80838.25</v>
      </c>
      <c r="E492" s="644" t="s">
        <v>11</v>
      </c>
      <c r="F492" s="506"/>
    </row>
    <row r="493" spans="1:6" ht="25.5">
      <c r="A493" s="647">
        <v>7132230455</v>
      </c>
      <c r="B493" s="644" t="s">
        <v>361</v>
      </c>
      <c r="C493" s="640" t="s">
        <v>926</v>
      </c>
      <c r="D493" s="641">
        <v>80181.91</v>
      </c>
      <c r="E493" s="644" t="s">
        <v>437</v>
      </c>
      <c r="F493" s="506"/>
    </row>
    <row r="494" spans="1:6" ht="25.5">
      <c r="A494" s="640">
        <v>7132230457</v>
      </c>
      <c r="B494" s="639" t="s">
        <v>362</v>
      </c>
      <c r="C494" s="640" t="s">
        <v>926</v>
      </c>
      <c r="D494" s="641">
        <v>82412.42</v>
      </c>
      <c r="E494" s="644" t="s">
        <v>288</v>
      </c>
      <c r="F494" s="506"/>
    </row>
    <row r="495" spans="1:7" ht="27.75" customHeight="1">
      <c r="A495" s="687">
        <v>7132230471</v>
      </c>
      <c r="B495" s="671" t="s">
        <v>1865</v>
      </c>
      <c r="C495" s="688" t="s">
        <v>926</v>
      </c>
      <c r="D495" s="641">
        <v>33323.81</v>
      </c>
      <c r="E495" s="644"/>
      <c r="F495" s="506"/>
      <c r="G495" s="605" t="s">
        <v>1718</v>
      </c>
    </row>
    <row r="496" spans="1:7" ht="20.25" customHeight="1">
      <c r="A496" s="640">
        <v>7132230473</v>
      </c>
      <c r="B496" s="639" t="s">
        <v>1862</v>
      </c>
      <c r="C496" s="640" t="s">
        <v>749</v>
      </c>
      <c r="D496" s="641"/>
      <c r="E496" s="644"/>
      <c r="F496" s="506"/>
      <c r="G496" s="600" t="s">
        <v>1829</v>
      </c>
    </row>
    <row r="497" spans="1:10" ht="25.5">
      <c r="A497" s="647">
        <v>7132230056</v>
      </c>
      <c r="B497" s="639" t="s">
        <v>276</v>
      </c>
      <c r="C497" s="640" t="s">
        <v>926</v>
      </c>
      <c r="D497" s="641">
        <v>10336.32</v>
      </c>
      <c r="E497" s="644" t="s">
        <v>289</v>
      </c>
      <c r="F497" s="506"/>
      <c r="J497" s="123"/>
    </row>
    <row r="498" spans="1:10" ht="25.5">
      <c r="A498" s="647">
        <v>7132230057</v>
      </c>
      <c r="B498" s="639" t="s">
        <v>998</v>
      </c>
      <c r="C498" s="640" t="s">
        <v>926</v>
      </c>
      <c r="D498" s="641">
        <v>16586.32</v>
      </c>
      <c r="E498" s="644" t="s">
        <v>1891</v>
      </c>
      <c r="F498" s="506"/>
      <c r="J498" s="123"/>
    </row>
    <row r="499" spans="1:6" ht="25.5">
      <c r="A499" s="640">
        <v>7132230501</v>
      </c>
      <c r="B499" s="659" t="s">
        <v>999</v>
      </c>
      <c r="C499" s="640" t="s">
        <v>749</v>
      </c>
      <c r="D499" s="641">
        <v>247996.79</v>
      </c>
      <c r="E499" s="644" t="s">
        <v>290</v>
      </c>
      <c r="F499" s="506"/>
    </row>
    <row r="500" spans="1:6" ht="25.5">
      <c r="A500" s="640">
        <v>7132230511</v>
      </c>
      <c r="B500" s="659" t="s">
        <v>1000</v>
      </c>
      <c r="C500" s="640" t="s">
        <v>749</v>
      </c>
      <c r="D500" s="641">
        <v>584046.53</v>
      </c>
      <c r="E500" s="644" t="s">
        <v>291</v>
      </c>
      <c r="F500" s="506"/>
    </row>
    <row r="501" spans="1:6" ht="20.25" customHeight="1">
      <c r="A501" s="640">
        <v>7132401672</v>
      </c>
      <c r="B501" s="644" t="s">
        <v>1897</v>
      </c>
      <c r="C501" s="640" t="s">
        <v>749</v>
      </c>
      <c r="D501" s="641">
        <v>5408.9</v>
      </c>
      <c r="E501" s="644" t="s">
        <v>1898</v>
      </c>
      <c r="F501" s="506"/>
    </row>
    <row r="502" spans="1:8" ht="17.25" customHeight="1">
      <c r="A502" s="643">
        <v>7132404015</v>
      </c>
      <c r="B502" s="644" t="s">
        <v>772</v>
      </c>
      <c r="C502" s="645" t="s">
        <v>996</v>
      </c>
      <c r="D502" s="641">
        <v>617.31</v>
      </c>
      <c r="E502" s="646" t="s">
        <v>292</v>
      </c>
      <c r="F502" s="506"/>
      <c r="H502" s="24"/>
    </row>
    <row r="503" spans="1:6" ht="17.25" customHeight="1">
      <c r="A503" s="643">
        <v>7132404016</v>
      </c>
      <c r="B503" s="644" t="s">
        <v>773</v>
      </c>
      <c r="C503" s="645" t="s">
        <v>996</v>
      </c>
      <c r="D503" s="641">
        <v>139.59</v>
      </c>
      <c r="E503" s="646" t="s">
        <v>22</v>
      </c>
      <c r="F503" s="506"/>
    </row>
    <row r="504" spans="1:8" ht="25.5">
      <c r="A504" s="647">
        <v>7132404366</v>
      </c>
      <c r="B504" s="639" t="s">
        <v>627</v>
      </c>
      <c r="C504" s="640" t="s">
        <v>749</v>
      </c>
      <c r="D504" s="641">
        <v>51840</v>
      </c>
      <c r="E504" s="646" t="s">
        <v>23</v>
      </c>
      <c r="F504" s="506"/>
      <c r="G504" s="566"/>
      <c r="H504" s="566"/>
    </row>
    <row r="505" spans="1:8" ht="25.5">
      <c r="A505" s="643">
        <v>7132406022</v>
      </c>
      <c r="B505" s="644" t="s">
        <v>896</v>
      </c>
      <c r="C505" s="645" t="s">
        <v>996</v>
      </c>
      <c r="D505" s="641">
        <v>147.22</v>
      </c>
      <c r="E505" s="644" t="s">
        <v>211</v>
      </c>
      <c r="F505" s="506"/>
      <c r="H505" s="24"/>
    </row>
    <row r="506" spans="1:6" ht="25.5">
      <c r="A506" s="647">
        <v>7132406420</v>
      </c>
      <c r="B506" s="639" t="s">
        <v>267</v>
      </c>
      <c r="C506" s="640" t="s">
        <v>926</v>
      </c>
      <c r="D506" s="641">
        <v>2580.37</v>
      </c>
      <c r="E506" s="644" t="s">
        <v>212</v>
      </c>
      <c r="F506" s="506"/>
    </row>
    <row r="507" spans="1:6" ht="25.5">
      <c r="A507" s="647">
        <v>7132406420</v>
      </c>
      <c r="B507" s="639" t="s">
        <v>1706</v>
      </c>
      <c r="C507" s="640" t="s">
        <v>926</v>
      </c>
      <c r="D507" s="641">
        <v>3258.27</v>
      </c>
      <c r="E507" s="646"/>
      <c r="F507" s="506"/>
    </row>
    <row r="508" spans="1:6" ht="25.5">
      <c r="A508" s="647">
        <v>7132406425</v>
      </c>
      <c r="B508" s="639" t="s">
        <v>325</v>
      </c>
      <c r="C508" s="640" t="s">
        <v>926</v>
      </c>
      <c r="D508" s="641">
        <v>2614.17</v>
      </c>
      <c r="E508" s="644" t="s">
        <v>325</v>
      </c>
      <c r="F508" s="506"/>
    </row>
    <row r="509" spans="1:8" ht="25.5">
      <c r="A509" s="647">
        <v>7132406721</v>
      </c>
      <c r="B509" s="639" t="s">
        <v>731</v>
      </c>
      <c r="C509" s="640" t="s">
        <v>926</v>
      </c>
      <c r="D509" s="641">
        <v>2590.64</v>
      </c>
      <c r="E509" s="646" t="s">
        <v>213</v>
      </c>
      <c r="F509" s="507" t="s">
        <v>1814</v>
      </c>
      <c r="G509" s="566"/>
      <c r="H509" s="597"/>
    </row>
    <row r="510" spans="1:8" ht="25.5">
      <c r="A510" s="647">
        <v>7132409830</v>
      </c>
      <c r="B510" s="639" t="s">
        <v>1900</v>
      </c>
      <c r="C510" s="640" t="s">
        <v>749</v>
      </c>
      <c r="D510" s="641">
        <v>2649.94</v>
      </c>
      <c r="E510" s="644" t="s">
        <v>1899</v>
      </c>
      <c r="F510" s="507"/>
      <c r="G510" s="566"/>
      <c r="H510" s="597"/>
    </row>
    <row r="511" spans="1:6" ht="16.5" customHeight="1">
      <c r="A511" s="667">
        <v>7132411894</v>
      </c>
      <c r="B511" s="644" t="s">
        <v>141</v>
      </c>
      <c r="C511" s="645" t="s">
        <v>745</v>
      </c>
      <c r="D511" s="641">
        <v>534.34</v>
      </c>
      <c r="E511" s="644" t="s">
        <v>958</v>
      </c>
      <c r="F511" s="506"/>
    </row>
    <row r="512" spans="1:8" ht="31.5" customHeight="1">
      <c r="A512" s="667">
        <v>7132421002</v>
      </c>
      <c r="B512" s="639" t="s">
        <v>883</v>
      </c>
      <c r="C512" s="640" t="s">
        <v>19</v>
      </c>
      <c r="D512" s="641">
        <v>5805.2</v>
      </c>
      <c r="E512" s="644" t="s">
        <v>959</v>
      </c>
      <c r="F512" s="506"/>
      <c r="H512" s="24"/>
    </row>
    <row r="513" spans="1:12" ht="17.25" customHeight="1">
      <c r="A513" s="643">
        <v>7132427634</v>
      </c>
      <c r="B513" s="653" t="s">
        <v>1288</v>
      </c>
      <c r="C513" s="645" t="s">
        <v>996</v>
      </c>
      <c r="D513" s="641">
        <v>734.29</v>
      </c>
      <c r="E513" s="646" t="s">
        <v>960</v>
      </c>
      <c r="F513" s="506"/>
      <c r="G513" s="607" t="s">
        <v>1886</v>
      </c>
      <c r="H513" s="24"/>
      <c r="L513" s="72"/>
    </row>
    <row r="514" spans="1:12" ht="17.25" customHeight="1">
      <c r="A514" s="643">
        <v>7132427635</v>
      </c>
      <c r="B514" s="653" t="s">
        <v>1289</v>
      </c>
      <c r="C514" s="645" t="s">
        <v>996</v>
      </c>
      <c r="D514" s="641">
        <v>494.35</v>
      </c>
      <c r="E514" s="646" t="s">
        <v>961</v>
      </c>
      <c r="F514" s="506"/>
      <c r="G514" s="607" t="s">
        <v>1886</v>
      </c>
      <c r="H514" s="24"/>
      <c r="L514" s="72"/>
    </row>
    <row r="515" spans="1:8" ht="17.25" customHeight="1">
      <c r="A515" s="643">
        <v>7132438002</v>
      </c>
      <c r="B515" s="644" t="s">
        <v>1218</v>
      </c>
      <c r="C515" s="645" t="s">
        <v>907</v>
      </c>
      <c r="D515" s="641">
        <v>182.73</v>
      </c>
      <c r="E515" s="646" t="s">
        <v>962</v>
      </c>
      <c r="F515" s="506"/>
      <c r="H515" s="24"/>
    </row>
    <row r="516" spans="1:6" ht="17.25" customHeight="1">
      <c r="A516" s="640">
        <v>7132444005</v>
      </c>
      <c r="B516" s="644" t="s">
        <v>512</v>
      </c>
      <c r="C516" s="640" t="s">
        <v>926</v>
      </c>
      <c r="D516" s="641">
        <v>6.73</v>
      </c>
      <c r="E516" s="646" t="s">
        <v>774</v>
      </c>
      <c r="F516" s="506"/>
    </row>
    <row r="517" spans="1:8" ht="27.75" customHeight="1">
      <c r="A517" s="643">
        <v>7132444007</v>
      </c>
      <c r="B517" s="644" t="s">
        <v>1721</v>
      </c>
      <c r="C517" s="645" t="s">
        <v>831</v>
      </c>
      <c r="D517" s="641">
        <v>1003.21</v>
      </c>
      <c r="E517" s="646"/>
      <c r="F517" s="506"/>
      <c r="H517" s="24"/>
    </row>
    <row r="518" spans="1:10" ht="25.5">
      <c r="A518" s="667">
        <v>7132448003</v>
      </c>
      <c r="B518" s="639" t="s">
        <v>68</v>
      </c>
      <c r="C518" s="640" t="s">
        <v>19</v>
      </c>
      <c r="D518" s="641">
        <v>4622.46</v>
      </c>
      <c r="E518" s="644" t="s">
        <v>775</v>
      </c>
      <c r="F518" s="506"/>
      <c r="J518" s="123"/>
    </row>
    <row r="519" spans="1:8" ht="54" customHeight="1">
      <c r="A519" s="643">
        <v>7132455002</v>
      </c>
      <c r="B519" s="644" t="s">
        <v>833</v>
      </c>
      <c r="C519" s="645" t="s">
        <v>996</v>
      </c>
      <c r="D519" s="641">
        <v>307.92</v>
      </c>
      <c r="E519" s="646"/>
      <c r="F519" s="506"/>
      <c r="H519" s="24"/>
    </row>
    <row r="520" spans="1:6" ht="28.5" customHeight="1">
      <c r="A520" s="647">
        <v>7132457798</v>
      </c>
      <c r="B520" s="639" t="s">
        <v>364</v>
      </c>
      <c r="C520" s="640" t="s">
        <v>564</v>
      </c>
      <c r="D520" s="641">
        <v>67850</v>
      </c>
      <c r="E520" s="644" t="s">
        <v>776</v>
      </c>
      <c r="F520" s="506"/>
    </row>
    <row r="521" spans="1:6" ht="28.5" customHeight="1">
      <c r="A521" s="647">
        <v>7132457798</v>
      </c>
      <c r="B521" s="639" t="s">
        <v>365</v>
      </c>
      <c r="C521" s="640" t="s">
        <v>564</v>
      </c>
      <c r="D521" s="641">
        <v>58410</v>
      </c>
      <c r="E521" s="644" t="s">
        <v>776</v>
      </c>
      <c r="F521" s="506"/>
    </row>
    <row r="522" spans="1:8" ht="25.5">
      <c r="A522" s="638">
        <v>7132459005</v>
      </c>
      <c r="B522" s="644" t="s">
        <v>513</v>
      </c>
      <c r="C522" s="640" t="s">
        <v>926</v>
      </c>
      <c r="D522" s="641">
        <v>5.85</v>
      </c>
      <c r="E522" s="644" t="s">
        <v>777</v>
      </c>
      <c r="F522" s="506"/>
      <c r="H522" s="24"/>
    </row>
    <row r="523" spans="1:12" ht="20.25" customHeight="1">
      <c r="A523" s="643">
        <v>7132461004</v>
      </c>
      <c r="B523" s="662" t="s">
        <v>581</v>
      </c>
      <c r="C523" s="661" t="s">
        <v>750</v>
      </c>
      <c r="D523" s="641">
        <v>1146.75</v>
      </c>
      <c r="E523" s="646" t="s">
        <v>778</v>
      </c>
      <c r="F523" s="506"/>
      <c r="H523" s="24"/>
      <c r="K523" s="1">
        <v>7132401667</v>
      </c>
      <c r="L523" s="1">
        <v>13429.52380952381</v>
      </c>
    </row>
    <row r="524" spans="1:12" ht="25.5">
      <c r="A524" s="643">
        <v>7132461005</v>
      </c>
      <c r="B524" s="662" t="s">
        <v>659</v>
      </c>
      <c r="C524" s="661" t="s">
        <v>996</v>
      </c>
      <c r="D524" s="641">
        <v>417</v>
      </c>
      <c r="E524" s="644" t="s">
        <v>779</v>
      </c>
      <c r="F524" s="506"/>
      <c r="H524" s="24"/>
      <c r="K524" s="1">
        <v>7132409830</v>
      </c>
      <c r="L524" s="1">
        <v>2649.942857142857</v>
      </c>
    </row>
    <row r="525" spans="1:12" ht="27" customHeight="1">
      <c r="A525" s="647">
        <v>7132468558</v>
      </c>
      <c r="B525" s="639" t="s">
        <v>626</v>
      </c>
      <c r="C525" s="640" t="s">
        <v>926</v>
      </c>
      <c r="D525" s="641">
        <v>10952.19</v>
      </c>
      <c r="E525" s="644" t="s">
        <v>780</v>
      </c>
      <c r="F525" s="506"/>
      <c r="K525" s="1">
        <v>7132476797</v>
      </c>
      <c r="L525" s="1">
        <v>18542.85714285714</v>
      </c>
    </row>
    <row r="526" spans="1:12" ht="17.25" customHeight="1">
      <c r="A526" s="643">
        <v>7132475019</v>
      </c>
      <c r="B526" s="644" t="s">
        <v>771</v>
      </c>
      <c r="C526" s="645" t="s">
        <v>831</v>
      </c>
      <c r="D526" s="641">
        <v>347.89</v>
      </c>
      <c r="E526" s="273"/>
      <c r="F526" s="567"/>
      <c r="H526" s="24"/>
      <c r="K526" s="1">
        <v>7132476795</v>
      </c>
      <c r="L526" s="1">
        <v>21914.28571428571</v>
      </c>
    </row>
    <row r="527" spans="1:12" ht="25.5">
      <c r="A527" s="643">
        <v>7132475019</v>
      </c>
      <c r="B527" s="644" t="s">
        <v>1297</v>
      </c>
      <c r="C527" s="645" t="s">
        <v>897</v>
      </c>
      <c r="D527" s="641">
        <v>124.76</v>
      </c>
      <c r="E527" s="273"/>
      <c r="F527" s="587"/>
      <c r="G527" s="607" t="s">
        <v>1886</v>
      </c>
      <c r="H527" s="24"/>
      <c r="K527" s="1">
        <v>7132420412</v>
      </c>
      <c r="L527" s="1">
        <v>9630.47619047619</v>
      </c>
    </row>
    <row r="528" spans="1:12" ht="25.5">
      <c r="A528" s="643">
        <v>7132476007</v>
      </c>
      <c r="B528" s="644" t="s">
        <v>1298</v>
      </c>
      <c r="C528" s="645" t="s">
        <v>897</v>
      </c>
      <c r="D528" s="641">
        <v>14.29</v>
      </c>
      <c r="E528" s="644" t="s">
        <v>781</v>
      </c>
      <c r="F528" s="506"/>
      <c r="G528" s="607" t="s">
        <v>1886</v>
      </c>
      <c r="H528" s="24"/>
      <c r="K528" s="1">
        <v>7132488810</v>
      </c>
      <c r="L528" s="72">
        <v>53028.57142857143</v>
      </c>
    </row>
    <row r="529" spans="1:12" ht="25.5">
      <c r="A529" s="643">
        <v>7132476008</v>
      </c>
      <c r="B529" s="644" t="s">
        <v>1300</v>
      </c>
      <c r="C529" s="645" t="s">
        <v>897</v>
      </c>
      <c r="D529" s="641">
        <v>67.62</v>
      </c>
      <c r="E529" s="646"/>
      <c r="F529" s="506"/>
      <c r="G529" s="607" t="s">
        <v>1886</v>
      </c>
      <c r="H529" s="24"/>
      <c r="K529" s="1">
        <v>7132486195</v>
      </c>
      <c r="L529" s="72">
        <v>32914.28571428572</v>
      </c>
    </row>
    <row r="530" spans="1:12" ht="25.5">
      <c r="A530" s="667">
        <v>7132478004</v>
      </c>
      <c r="B530" s="644" t="s">
        <v>818</v>
      </c>
      <c r="C530" s="645" t="s">
        <v>996</v>
      </c>
      <c r="D530" s="641">
        <v>1518.07</v>
      </c>
      <c r="E530" s="644" t="s">
        <v>433</v>
      </c>
      <c r="F530" s="506"/>
      <c r="H530" s="24"/>
      <c r="K530" s="1">
        <v>7132486151</v>
      </c>
      <c r="L530" s="1">
        <v>7979.047619047618</v>
      </c>
    </row>
    <row r="531" spans="1:12" ht="12.75">
      <c r="A531" s="643">
        <v>7132478011</v>
      </c>
      <c r="B531" s="653" t="s">
        <v>552</v>
      </c>
      <c r="C531" s="645" t="s">
        <v>996</v>
      </c>
      <c r="D531" s="641">
        <v>599.94</v>
      </c>
      <c r="E531" s="646"/>
      <c r="F531" s="506"/>
      <c r="H531" s="24"/>
      <c r="K531" s="1">
        <v>7131880133</v>
      </c>
      <c r="L531" s="1">
        <v>74240</v>
      </c>
    </row>
    <row r="532" spans="1:12" ht="12.75">
      <c r="A532" s="643">
        <v>7132478012</v>
      </c>
      <c r="B532" s="653" t="s">
        <v>553</v>
      </c>
      <c r="C532" s="645" t="s">
        <v>996</v>
      </c>
      <c r="D532" s="641">
        <v>393.33</v>
      </c>
      <c r="E532" s="646" t="s">
        <v>434</v>
      </c>
      <c r="F532" s="506"/>
      <c r="K532" s="1">
        <v>7131880134</v>
      </c>
      <c r="L532" s="1">
        <v>40228.57142857143</v>
      </c>
    </row>
    <row r="533" spans="1:11" ht="15">
      <c r="A533" s="643">
        <v>7132478012</v>
      </c>
      <c r="B533" s="644" t="s">
        <v>1301</v>
      </c>
      <c r="C533" s="645" t="s">
        <v>907</v>
      </c>
      <c r="D533" s="641">
        <v>61.9</v>
      </c>
      <c r="E533" s="646" t="s">
        <v>434</v>
      </c>
      <c r="F533" s="506"/>
      <c r="G533" s="607" t="s">
        <v>1886</v>
      </c>
      <c r="H533" s="24"/>
      <c r="K533" s="7"/>
    </row>
    <row r="534" spans="1:11" ht="28.5" customHeight="1">
      <c r="A534" s="667">
        <v>7132490006</v>
      </c>
      <c r="B534" s="644" t="s">
        <v>985</v>
      </c>
      <c r="C534" s="640" t="s">
        <v>19</v>
      </c>
      <c r="D534" s="641">
        <v>5191.41</v>
      </c>
      <c r="E534" s="646" t="s">
        <v>435</v>
      </c>
      <c r="H534" s="24"/>
      <c r="K534" s="7"/>
    </row>
    <row r="535" spans="1:12" ht="18.75" customHeight="1">
      <c r="A535" s="643">
        <v>7132490052</v>
      </c>
      <c r="B535" s="644" t="s">
        <v>1303</v>
      </c>
      <c r="C535" s="645" t="s">
        <v>907</v>
      </c>
      <c r="D535" s="641">
        <v>56.19</v>
      </c>
      <c r="E535" s="646"/>
      <c r="F535" s="506"/>
      <c r="G535" s="607" t="s">
        <v>1886</v>
      </c>
      <c r="H535" s="24"/>
      <c r="K535" s="7"/>
      <c r="L535" s="72"/>
    </row>
    <row r="536" spans="1:11" ht="18.75" customHeight="1">
      <c r="A536" s="643">
        <v>7132490053</v>
      </c>
      <c r="B536" s="644" t="s">
        <v>1304</v>
      </c>
      <c r="C536" s="645" t="s">
        <v>907</v>
      </c>
      <c r="D536" s="641">
        <v>101.14</v>
      </c>
      <c r="E536" s="646"/>
      <c r="F536" s="506"/>
      <c r="H536" s="24"/>
      <c r="K536" s="7"/>
    </row>
    <row r="537" spans="1:11" ht="18.75" customHeight="1">
      <c r="A537" s="643">
        <v>7132498006</v>
      </c>
      <c r="B537" s="644" t="s">
        <v>821</v>
      </c>
      <c r="C537" s="645" t="s">
        <v>903</v>
      </c>
      <c r="D537" s="641">
        <v>903</v>
      </c>
      <c r="E537" s="646" t="s">
        <v>436</v>
      </c>
      <c r="F537" s="506"/>
      <c r="K537" s="7"/>
    </row>
    <row r="538" spans="1:11" ht="27.75" customHeight="1">
      <c r="A538" s="661">
        <v>7130310027</v>
      </c>
      <c r="B538" s="662" t="s">
        <v>1692</v>
      </c>
      <c r="C538" s="640" t="s">
        <v>750</v>
      </c>
      <c r="D538" s="641">
        <v>489.36</v>
      </c>
      <c r="E538" s="644" t="s">
        <v>1699</v>
      </c>
      <c r="F538" s="506"/>
      <c r="G538" s="122"/>
      <c r="H538" s="488"/>
      <c r="I538" s="489"/>
      <c r="K538" s="7"/>
    </row>
    <row r="539" spans="1:11" ht="29.25" customHeight="1">
      <c r="A539" s="661">
        <v>7130310029</v>
      </c>
      <c r="B539" s="662" t="s">
        <v>1693</v>
      </c>
      <c r="C539" s="640" t="s">
        <v>750</v>
      </c>
      <c r="D539" s="641">
        <v>589.88</v>
      </c>
      <c r="E539" s="644" t="s">
        <v>1700</v>
      </c>
      <c r="F539" s="506"/>
      <c r="G539" s="122"/>
      <c r="H539" s="488"/>
      <c r="I539" s="489"/>
      <c r="K539" s="7"/>
    </row>
    <row r="540" spans="1:11" ht="28.5" customHeight="1">
      <c r="A540" s="661">
        <v>7130310043</v>
      </c>
      <c r="B540" s="662" t="s">
        <v>1694</v>
      </c>
      <c r="C540" s="640" t="s">
        <v>750</v>
      </c>
      <c r="D540" s="641">
        <v>753.26</v>
      </c>
      <c r="E540" s="644" t="s">
        <v>1701</v>
      </c>
      <c r="F540" s="506"/>
      <c r="G540" s="122"/>
      <c r="H540" s="488"/>
      <c r="I540" s="489"/>
      <c r="K540" s="7"/>
    </row>
    <row r="541" spans="1:9" ht="27.75" customHeight="1">
      <c r="A541" s="661">
        <v>7130310047</v>
      </c>
      <c r="B541" s="662" t="s">
        <v>1695</v>
      </c>
      <c r="C541" s="640" t="s">
        <v>750</v>
      </c>
      <c r="D541" s="641">
        <v>1111.21</v>
      </c>
      <c r="E541" s="644" t="s">
        <v>1702</v>
      </c>
      <c r="F541" s="506"/>
      <c r="G541" s="122"/>
      <c r="H541" s="488"/>
      <c r="I541" s="489"/>
    </row>
    <row r="542" spans="1:11" ht="28.5" customHeight="1">
      <c r="A542" s="661">
        <v>7130310048</v>
      </c>
      <c r="B542" s="662" t="s">
        <v>1696</v>
      </c>
      <c r="C542" s="640" t="s">
        <v>750</v>
      </c>
      <c r="D542" s="641">
        <v>1565.71</v>
      </c>
      <c r="E542" s="644" t="s">
        <v>1703</v>
      </c>
      <c r="F542" s="506"/>
      <c r="G542" s="122"/>
      <c r="H542" s="488"/>
      <c r="I542" s="489"/>
      <c r="K542" s="7"/>
    </row>
    <row r="543" spans="1:11" ht="27.75" customHeight="1">
      <c r="A543" s="661">
        <v>7130310045</v>
      </c>
      <c r="B543" s="662" t="s">
        <v>1697</v>
      </c>
      <c r="C543" s="640" t="s">
        <v>750</v>
      </c>
      <c r="D543" s="641">
        <v>694.74</v>
      </c>
      <c r="E543" s="644" t="s">
        <v>1704</v>
      </c>
      <c r="F543" s="506"/>
      <c r="G543" s="122"/>
      <c r="H543" s="488"/>
      <c r="I543" s="489"/>
      <c r="K543" s="7"/>
    </row>
    <row r="544" spans="1:9" ht="28.5" customHeight="1">
      <c r="A544" s="661">
        <v>7130310046</v>
      </c>
      <c r="B544" s="662" t="s">
        <v>1698</v>
      </c>
      <c r="C544" s="640" t="s">
        <v>750</v>
      </c>
      <c r="D544" s="641">
        <v>790.12</v>
      </c>
      <c r="E544" s="644" t="s">
        <v>1705</v>
      </c>
      <c r="F544" s="506"/>
      <c r="G544" s="122"/>
      <c r="H544" s="488"/>
      <c r="I544" s="489"/>
    </row>
    <row r="545" spans="1:10" ht="25.5" customHeight="1">
      <c r="A545" s="667">
        <v>7130310025</v>
      </c>
      <c r="B545" s="644" t="s">
        <v>114</v>
      </c>
      <c r="C545" s="640" t="s">
        <v>14</v>
      </c>
      <c r="D545" s="641">
        <v>13494.42</v>
      </c>
      <c r="E545" s="644" t="s">
        <v>114</v>
      </c>
      <c r="F545" s="507" t="s">
        <v>1814</v>
      </c>
      <c r="H545" s="491"/>
      <c r="I545" s="491"/>
      <c r="J545" s="491"/>
    </row>
    <row r="546" spans="1:9" ht="25.5">
      <c r="A546" s="667">
        <v>7130310026</v>
      </c>
      <c r="B546" s="644" t="s">
        <v>115</v>
      </c>
      <c r="C546" s="640" t="s">
        <v>14</v>
      </c>
      <c r="D546" s="641">
        <v>21384.67</v>
      </c>
      <c r="E546" s="644" t="s">
        <v>115</v>
      </c>
      <c r="F546" s="507" t="s">
        <v>1814</v>
      </c>
      <c r="I546" s="27"/>
    </row>
    <row r="547" spans="1:6" ht="25.5">
      <c r="A547" s="667">
        <v>7130310034</v>
      </c>
      <c r="B547" s="644" t="s">
        <v>116</v>
      </c>
      <c r="C547" s="640" t="s">
        <v>14</v>
      </c>
      <c r="D547" s="641">
        <v>137519.06</v>
      </c>
      <c r="E547" s="644" t="s">
        <v>116</v>
      </c>
      <c r="F547" s="507" t="s">
        <v>1814</v>
      </c>
    </row>
    <row r="548" spans="1:6" ht="25.5">
      <c r="A548" s="667">
        <v>7130310035</v>
      </c>
      <c r="B548" s="644" t="s">
        <v>117</v>
      </c>
      <c r="C548" s="640" t="s">
        <v>14</v>
      </c>
      <c r="D548" s="641">
        <v>210046.77</v>
      </c>
      <c r="E548" s="644" t="s">
        <v>117</v>
      </c>
      <c r="F548" s="507" t="s">
        <v>1814</v>
      </c>
    </row>
    <row r="549" spans="1:6" ht="17.25" customHeight="1">
      <c r="A549" s="667">
        <v>7131310168</v>
      </c>
      <c r="B549" s="644" t="s">
        <v>411</v>
      </c>
      <c r="C549" s="640" t="s">
        <v>926</v>
      </c>
      <c r="D549" s="641">
        <v>11569.13</v>
      </c>
      <c r="E549" s="667"/>
      <c r="F549" s="124"/>
    </row>
    <row r="550" spans="1:6" ht="36.75" customHeight="1">
      <c r="A550" s="667"/>
      <c r="B550" s="644" t="s">
        <v>412</v>
      </c>
      <c r="C550" s="640"/>
      <c r="D550" s="641"/>
      <c r="E550" s="667"/>
      <c r="F550" s="124"/>
    </row>
    <row r="551" spans="1:7" ht="18.75" customHeight="1">
      <c r="A551" s="667">
        <v>7132230410</v>
      </c>
      <c r="B551" s="644" t="s">
        <v>413</v>
      </c>
      <c r="C551" s="640" t="s">
        <v>926</v>
      </c>
      <c r="D551" s="641"/>
      <c r="E551" s="667"/>
      <c r="F551" s="124"/>
      <c r="G551" s="600" t="s">
        <v>1829</v>
      </c>
    </row>
    <row r="552" spans="1:7" ht="18.75" customHeight="1">
      <c r="A552" s="667">
        <v>7132230403</v>
      </c>
      <c r="B552" s="644" t="s">
        <v>414</v>
      </c>
      <c r="C552" s="640" t="s">
        <v>926</v>
      </c>
      <c r="D552" s="641"/>
      <c r="E552" s="667"/>
      <c r="F552" s="124"/>
      <c r="G552" s="600" t="s">
        <v>1829</v>
      </c>
    </row>
    <row r="553" spans="1:8" ht="25.5">
      <c r="A553" s="667">
        <v>7131960919</v>
      </c>
      <c r="B553" s="644" t="s">
        <v>415</v>
      </c>
      <c r="C553" s="640" t="s">
        <v>926</v>
      </c>
      <c r="D553" s="641">
        <v>38863.78</v>
      </c>
      <c r="E553" s="667"/>
      <c r="F553" s="124"/>
      <c r="H553" s="24"/>
    </row>
    <row r="554" spans="1:7" ht="14.25">
      <c r="A554" s="667">
        <v>7130870040</v>
      </c>
      <c r="B554" s="690" t="s">
        <v>549</v>
      </c>
      <c r="C554" s="645" t="s">
        <v>907</v>
      </c>
      <c r="D554" s="641">
        <v>85.92</v>
      </c>
      <c r="E554" s="667"/>
      <c r="F554" s="124"/>
      <c r="G554" s="605" t="s">
        <v>1718</v>
      </c>
    </row>
    <row r="555" spans="1:6" ht="12.75">
      <c r="A555" s="691">
        <v>7132444005</v>
      </c>
      <c r="B555" s="644" t="s">
        <v>978</v>
      </c>
      <c r="C555" s="661" t="s">
        <v>19</v>
      </c>
      <c r="D555" s="641">
        <v>8.99</v>
      </c>
      <c r="E555" s="667"/>
      <c r="F555" s="124"/>
    </row>
    <row r="556" spans="1:8" ht="21" customHeight="1">
      <c r="A556" s="640">
        <v>7130820013</v>
      </c>
      <c r="B556" s="644" t="s">
        <v>979</v>
      </c>
      <c r="C556" s="661" t="s">
        <v>19</v>
      </c>
      <c r="D556" s="641">
        <v>236.53</v>
      </c>
      <c r="E556" s="667"/>
      <c r="F556" s="124"/>
      <c r="G556" s="601" t="s">
        <v>1852</v>
      </c>
      <c r="H556" s="563"/>
    </row>
    <row r="557" spans="1:7" ht="18" customHeight="1">
      <c r="A557" s="667">
        <v>7131930110</v>
      </c>
      <c r="B557" s="690" t="s">
        <v>1710</v>
      </c>
      <c r="C557" s="640" t="s">
        <v>926</v>
      </c>
      <c r="D557" s="641">
        <v>1561.44</v>
      </c>
      <c r="E557" s="667"/>
      <c r="F557" s="124"/>
      <c r="G557" s="505"/>
    </row>
    <row r="558" spans="1:7" ht="18" customHeight="1">
      <c r="A558" s="667">
        <v>7131930111</v>
      </c>
      <c r="B558" s="690" t="s">
        <v>1711</v>
      </c>
      <c r="C558" s="640" t="s">
        <v>926</v>
      </c>
      <c r="D558" s="641">
        <v>2234.66</v>
      </c>
      <c r="E558" s="667"/>
      <c r="F558" s="124"/>
      <c r="G558" s="505"/>
    </row>
    <row r="559" spans="1:7" ht="18" customHeight="1">
      <c r="A559" s="667">
        <v>7130800001</v>
      </c>
      <c r="B559" s="690" t="s">
        <v>1712</v>
      </c>
      <c r="C559" s="667" t="s">
        <v>926</v>
      </c>
      <c r="D559" s="641">
        <v>3046.2</v>
      </c>
      <c r="E559" s="667"/>
      <c r="F559" s="124"/>
      <c r="G559" s="505"/>
    </row>
    <row r="560" spans="1:7" ht="18" customHeight="1">
      <c r="A560" s="667">
        <v>7130800002</v>
      </c>
      <c r="B560" s="690" t="s">
        <v>1713</v>
      </c>
      <c r="C560" s="667" t="s">
        <v>926</v>
      </c>
      <c r="D560" s="641">
        <v>7605.2</v>
      </c>
      <c r="E560" s="667"/>
      <c r="F560" s="124"/>
      <c r="G560" s="505"/>
    </row>
    <row r="561" spans="1:7" ht="18" customHeight="1">
      <c r="A561" s="692">
        <v>7130820001</v>
      </c>
      <c r="B561" s="693" t="s">
        <v>1714</v>
      </c>
      <c r="C561" s="640" t="s">
        <v>996</v>
      </c>
      <c r="D561" s="641">
        <v>231.83</v>
      </c>
      <c r="E561" s="692"/>
      <c r="F561" s="568"/>
      <c r="G561" s="505"/>
    </row>
    <row r="562" spans="1:7" ht="18" customHeight="1">
      <c r="A562" s="692">
        <v>7130820002</v>
      </c>
      <c r="B562" s="693" t="s">
        <v>1715</v>
      </c>
      <c r="C562" s="640" t="s">
        <v>996</v>
      </c>
      <c r="D562" s="641">
        <v>803.65</v>
      </c>
      <c r="E562" s="692"/>
      <c r="F562" s="568"/>
      <c r="G562" s="505"/>
    </row>
    <row r="563" spans="1:8" ht="27.75" customHeight="1">
      <c r="A563" s="643">
        <v>7130820010</v>
      </c>
      <c r="B563" s="671" t="s">
        <v>1853</v>
      </c>
      <c r="C563" s="688" t="s">
        <v>996</v>
      </c>
      <c r="D563" s="641">
        <v>128.45</v>
      </c>
      <c r="E563" s="644"/>
      <c r="F563" s="506"/>
      <c r="G563" s="489"/>
      <c r="H563" s="563"/>
    </row>
    <row r="564" spans="1:7" ht="28.5" customHeight="1">
      <c r="A564" s="667">
        <v>7131930107</v>
      </c>
      <c r="B564" s="644" t="s">
        <v>1716</v>
      </c>
      <c r="C564" s="640" t="s">
        <v>926</v>
      </c>
      <c r="D564" s="641"/>
      <c r="E564" s="667"/>
      <c r="F564" s="124"/>
      <c r="G564" s="600" t="s">
        <v>1829</v>
      </c>
    </row>
    <row r="565" spans="1:7" ht="28.5" customHeight="1">
      <c r="A565" s="667">
        <v>7131930108</v>
      </c>
      <c r="B565" s="644" t="s">
        <v>1717</v>
      </c>
      <c r="C565" s="640" t="s">
        <v>926</v>
      </c>
      <c r="D565" s="641"/>
      <c r="E565" s="667"/>
      <c r="F565" s="124"/>
      <c r="G565" s="600" t="s">
        <v>1829</v>
      </c>
    </row>
    <row r="566" spans="1:6" ht="19.5" customHeight="1">
      <c r="A566" s="667">
        <v>7130800033</v>
      </c>
      <c r="B566" s="644" t="s">
        <v>1378</v>
      </c>
      <c r="C566" s="661" t="s">
        <v>19</v>
      </c>
      <c r="D566" s="641">
        <v>2552.95</v>
      </c>
      <c r="E566" s="667"/>
      <c r="F566" s="124"/>
    </row>
    <row r="567" spans="1:7" ht="28.5" customHeight="1">
      <c r="A567" s="647">
        <v>7130311023</v>
      </c>
      <c r="B567" s="644" t="s">
        <v>1725</v>
      </c>
      <c r="C567" s="640" t="s">
        <v>616</v>
      </c>
      <c r="D567" s="641">
        <v>22.32</v>
      </c>
      <c r="E567" s="644" t="s">
        <v>1733</v>
      </c>
      <c r="F567" s="104"/>
      <c r="G567" s="505"/>
    </row>
    <row r="568" spans="1:7" ht="28.5" customHeight="1">
      <c r="A568" s="647">
        <v>7130311024</v>
      </c>
      <c r="B568" s="644" t="s">
        <v>1726</v>
      </c>
      <c r="C568" s="640" t="s">
        <v>616</v>
      </c>
      <c r="D568" s="641">
        <v>26.78</v>
      </c>
      <c r="E568" s="644" t="s">
        <v>1734</v>
      </c>
      <c r="F568" s="104"/>
      <c r="G568" s="505"/>
    </row>
    <row r="569" spans="1:7" ht="28.5" customHeight="1">
      <c r="A569" s="647">
        <v>7130311025</v>
      </c>
      <c r="B569" s="644" t="s">
        <v>1727</v>
      </c>
      <c r="C569" s="640" t="s">
        <v>616</v>
      </c>
      <c r="D569" s="641">
        <v>39.05</v>
      </c>
      <c r="E569" s="644" t="s">
        <v>1735</v>
      </c>
      <c r="F569" s="104"/>
      <c r="G569" s="505"/>
    </row>
    <row r="570" spans="1:7" ht="28.5" customHeight="1">
      <c r="A570" s="640">
        <v>7130311026</v>
      </c>
      <c r="B570" s="644" t="s">
        <v>1728</v>
      </c>
      <c r="C570" s="640" t="s">
        <v>616</v>
      </c>
      <c r="D570" s="641">
        <v>46.86</v>
      </c>
      <c r="E570" s="644" t="s">
        <v>1736</v>
      </c>
      <c r="F570" s="104"/>
      <c r="G570" s="505"/>
    </row>
    <row r="571" spans="1:7" ht="28.5" customHeight="1">
      <c r="A571" s="647">
        <v>7130311027</v>
      </c>
      <c r="B571" s="644" t="s">
        <v>1729</v>
      </c>
      <c r="C571" s="640" t="s">
        <v>750</v>
      </c>
      <c r="D571" s="641">
        <v>56.91</v>
      </c>
      <c r="E571" s="644" t="s">
        <v>1737</v>
      </c>
      <c r="F571" s="104"/>
      <c r="G571" s="505"/>
    </row>
    <row r="572" spans="1:7" ht="28.5" customHeight="1">
      <c r="A572" s="647">
        <v>7130311028</v>
      </c>
      <c r="B572" s="644" t="s">
        <v>1730</v>
      </c>
      <c r="C572" s="640" t="s">
        <v>750</v>
      </c>
      <c r="D572" s="641">
        <v>68.07</v>
      </c>
      <c r="E572" s="644" t="s">
        <v>1738</v>
      </c>
      <c r="F572" s="104"/>
      <c r="G572" s="505"/>
    </row>
    <row r="573" spans="1:7" ht="28.5" customHeight="1">
      <c r="A573" s="647">
        <v>7130311029</v>
      </c>
      <c r="B573" s="644" t="s">
        <v>1731</v>
      </c>
      <c r="C573" s="640" t="s">
        <v>750</v>
      </c>
      <c r="D573" s="641">
        <v>89.27</v>
      </c>
      <c r="E573" s="644" t="s">
        <v>1739</v>
      </c>
      <c r="F573" s="104"/>
      <c r="G573" s="505"/>
    </row>
    <row r="574" spans="1:7" ht="28.5" customHeight="1">
      <c r="A574" s="647">
        <v>7130311030</v>
      </c>
      <c r="B574" s="644" t="s">
        <v>1732</v>
      </c>
      <c r="C574" s="640" t="s">
        <v>750</v>
      </c>
      <c r="D574" s="641">
        <v>113.82</v>
      </c>
      <c r="E574" s="644" t="s">
        <v>1740</v>
      </c>
      <c r="F574" s="104"/>
      <c r="G574" s="505"/>
    </row>
    <row r="575" spans="1:8" ht="42" customHeight="1">
      <c r="A575" s="647">
        <v>7132210017</v>
      </c>
      <c r="B575" s="644" t="s">
        <v>1741</v>
      </c>
      <c r="C575" s="640" t="s">
        <v>926</v>
      </c>
      <c r="D575" s="641">
        <v>44158.56</v>
      </c>
      <c r="E575" s="644" t="s">
        <v>1815</v>
      </c>
      <c r="F575" s="593" t="s">
        <v>1814</v>
      </c>
      <c r="G575" s="104"/>
      <c r="H575" s="506"/>
    </row>
    <row r="576" spans="1:8" ht="42" customHeight="1">
      <c r="A576" s="647">
        <v>7132210018</v>
      </c>
      <c r="B576" s="644" t="s">
        <v>1742</v>
      </c>
      <c r="C576" s="640" t="s">
        <v>926</v>
      </c>
      <c r="D576" s="641">
        <v>49457.85</v>
      </c>
      <c r="E576" s="644" t="s">
        <v>1816</v>
      </c>
      <c r="F576" s="593" t="s">
        <v>1814</v>
      </c>
      <c r="G576" s="104"/>
      <c r="H576" s="506"/>
    </row>
    <row r="577" spans="1:8" ht="42" customHeight="1">
      <c r="A577" s="647">
        <v>7132210019</v>
      </c>
      <c r="B577" s="644" t="s">
        <v>1743</v>
      </c>
      <c r="C577" s="640" t="s">
        <v>926</v>
      </c>
      <c r="D577" s="641">
        <v>89213.04</v>
      </c>
      <c r="E577" s="644" t="s">
        <v>1817</v>
      </c>
      <c r="F577" s="593" t="s">
        <v>1814</v>
      </c>
      <c r="G577" s="104"/>
      <c r="H577" s="506"/>
    </row>
    <row r="578" spans="1:8" ht="54.75" customHeight="1">
      <c r="A578" s="647">
        <v>7132210020</v>
      </c>
      <c r="B578" s="644" t="s">
        <v>1744</v>
      </c>
      <c r="C578" s="640" t="s">
        <v>926</v>
      </c>
      <c r="D578" s="641">
        <v>117398.25</v>
      </c>
      <c r="E578" s="644" t="s">
        <v>1818</v>
      </c>
      <c r="F578" s="593" t="s">
        <v>1814</v>
      </c>
      <c r="G578" s="104"/>
      <c r="H578" s="506"/>
    </row>
    <row r="579" spans="1:8" ht="56.25" customHeight="1">
      <c r="A579" s="647">
        <v>7132210021</v>
      </c>
      <c r="B579" s="644" t="s">
        <v>1745</v>
      </c>
      <c r="C579" s="640" t="s">
        <v>926</v>
      </c>
      <c r="D579" s="641">
        <v>220752.68</v>
      </c>
      <c r="E579" s="644" t="s">
        <v>1819</v>
      </c>
      <c r="F579" s="593" t="s">
        <v>1814</v>
      </c>
      <c r="G579" s="104"/>
      <c r="H579" s="506"/>
    </row>
    <row r="580" spans="1:8" ht="44.25" customHeight="1">
      <c r="A580" s="647">
        <v>7132220081</v>
      </c>
      <c r="B580" s="644" t="s">
        <v>1830</v>
      </c>
      <c r="C580" s="640" t="s">
        <v>926</v>
      </c>
      <c r="D580" s="641">
        <v>546827.89</v>
      </c>
      <c r="E580" s="644"/>
      <c r="F580" s="593" t="s">
        <v>1814</v>
      </c>
      <c r="G580" s="104"/>
      <c r="H580" s="506"/>
    </row>
    <row r="581" spans="1:8" ht="45.75" customHeight="1">
      <c r="A581" s="647">
        <v>7132220082</v>
      </c>
      <c r="B581" s="644" t="s">
        <v>1831</v>
      </c>
      <c r="C581" s="640" t="s">
        <v>926</v>
      </c>
      <c r="D581" s="641">
        <v>826555.57</v>
      </c>
      <c r="E581" s="644"/>
      <c r="F581" s="593" t="s">
        <v>1814</v>
      </c>
      <c r="G581" s="104"/>
      <c r="H581" s="506"/>
    </row>
    <row r="582" spans="1:7" ht="22.5" customHeight="1">
      <c r="A582" s="647">
        <v>7130640008</v>
      </c>
      <c r="B582" s="639" t="s">
        <v>1748</v>
      </c>
      <c r="C582" s="640" t="s">
        <v>926</v>
      </c>
      <c r="D582" s="641">
        <v>158</v>
      </c>
      <c r="E582" s="694"/>
      <c r="F582" s="569"/>
      <c r="G582" s="607" t="s">
        <v>1886</v>
      </c>
    </row>
    <row r="583" spans="1:7" ht="21" customHeight="1">
      <c r="A583" s="647">
        <v>7131210011</v>
      </c>
      <c r="B583" s="644" t="s">
        <v>1776</v>
      </c>
      <c r="C583" s="640" t="s">
        <v>926</v>
      </c>
      <c r="D583" s="641">
        <v>70</v>
      </c>
      <c r="E583" s="639" t="s">
        <v>1784</v>
      </c>
      <c r="F583" s="569"/>
      <c r="G583" s="505"/>
    </row>
    <row r="584" spans="1:7" ht="25.5">
      <c r="A584" s="667">
        <v>7131210023</v>
      </c>
      <c r="B584" s="644" t="s">
        <v>1777</v>
      </c>
      <c r="C584" s="661" t="s">
        <v>996</v>
      </c>
      <c r="D584" s="641"/>
      <c r="E584" s="639" t="s">
        <v>1785</v>
      </c>
      <c r="F584" s="124"/>
      <c r="G584" s="600" t="s">
        <v>1829</v>
      </c>
    </row>
    <row r="585" spans="1:7" ht="25.5">
      <c r="A585" s="667">
        <v>7131210024</v>
      </c>
      <c r="B585" s="644" t="s">
        <v>1778</v>
      </c>
      <c r="C585" s="661" t="s">
        <v>996</v>
      </c>
      <c r="D585" s="641"/>
      <c r="E585" s="639" t="s">
        <v>1786</v>
      </c>
      <c r="F585" s="124"/>
      <c r="G585" s="600" t="s">
        <v>1829</v>
      </c>
    </row>
    <row r="586" spans="1:7" ht="25.5">
      <c r="A586" s="667">
        <v>7131210025</v>
      </c>
      <c r="B586" s="644" t="s">
        <v>1779</v>
      </c>
      <c r="C586" s="661" t="s">
        <v>996</v>
      </c>
      <c r="D586" s="641"/>
      <c r="E586" s="639" t="s">
        <v>1787</v>
      </c>
      <c r="F586" s="124"/>
      <c r="G586" s="600" t="s">
        <v>1829</v>
      </c>
    </row>
    <row r="587" spans="1:7" ht="39.75" customHeight="1">
      <c r="A587" s="667">
        <v>7131941763</v>
      </c>
      <c r="B587" s="662" t="s">
        <v>1780</v>
      </c>
      <c r="C587" s="667" t="s">
        <v>17</v>
      </c>
      <c r="D587" s="641">
        <v>760396.12</v>
      </c>
      <c r="E587" s="662" t="s">
        <v>1788</v>
      </c>
      <c r="F587" s="124"/>
      <c r="G587" s="505"/>
    </row>
    <row r="588" spans="1:7" ht="40.5" customHeight="1">
      <c r="A588" s="667">
        <v>7131941764</v>
      </c>
      <c r="B588" s="662" t="s">
        <v>1781</v>
      </c>
      <c r="C588" s="667" t="s">
        <v>17</v>
      </c>
      <c r="D588" s="641">
        <v>1080119.04</v>
      </c>
      <c r="E588" s="662" t="s">
        <v>1789</v>
      </c>
      <c r="F588" s="124"/>
      <c r="G588" s="505"/>
    </row>
    <row r="589" spans="1:7" ht="40.5" customHeight="1">
      <c r="A589" s="667">
        <v>7131941765</v>
      </c>
      <c r="B589" s="662" t="s">
        <v>1782</v>
      </c>
      <c r="C589" s="667" t="s">
        <v>17</v>
      </c>
      <c r="D589" s="641">
        <v>1394147.12</v>
      </c>
      <c r="E589" s="662" t="s">
        <v>1790</v>
      </c>
      <c r="F589" s="124"/>
      <c r="G589" s="505"/>
    </row>
    <row r="590" spans="1:7" ht="42" customHeight="1">
      <c r="A590" s="667">
        <v>7131941766</v>
      </c>
      <c r="B590" s="662" t="s">
        <v>1783</v>
      </c>
      <c r="C590" s="667" t="s">
        <v>17</v>
      </c>
      <c r="D590" s="641">
        <v>1708175.2</v>
      </c>
      <c r="E590" s="662" t="s">
        <v>1791</v>
      </c>
      <c r="F590" s="124"/>
      <c r="G590" s="505"/>
    </row>
    <row r="591" spans="1:7" ht="18" customHeight="1">
      <c r="A591" s="667">
        <v>7131941767</v>
      </c>
      <c r="B591" s="662" t="s">
        <v>1792</v>
      </c>
      <c r="C591" s="667" t="s">
        <v>17</v>
      </c>
      <c r="D591" s="641">
        <v>273605.75</v>
      </c>
      <c r="E591" s="662" t="s">
        <v>1792</v>
      </c>
      <c r="F591" s="124"/>
      <c r="G591" s="505"/>
    </row>
    <row r="592" spans="1:7" ht="18" customHeight="1">
      <c r="A592" s="667">
        <v>7131941768</v>
      </c>
      <c r="B592" s="662" t="s">
        <v>1793</v>
      </c>
      <c r="C592" s="667" t="s">
        <v>17</v>
      </c>
      <c r="D592" s="641">
        <v>319722.92</v>
      </c>
      <c r="E592" s="662" t="s">
        <v>1793</v>
      </c>
      <c r="F592" s="124"/>
      <c r="G592" s="505"/>
    </row>
    <row r="593" spans="1:7" ht="25.5">
      <c r="A593" s="667">
        <v>7132230009</v>
      </c>
      <c r="B593" s="639" t="s">
        <v>1796</v>
      </c>
      <c r="C593" s="667" t="s">
        <v>926</v>
      </c>
      <c r="D593" s="641">
        <v>212181.48</v>
      </c>
      <c r="E593" s="695" t="s">
        <v>1794</v>
      </c>
      <c r="F593" s="124"/>
      <c r="G593" s="505"/>
    </row>
    <row r="594" spans="1:7" ht="25.5">
      <c r="A594" s="667">
        <v>7132230011</v>
      </c>
      <c r="B594" s="639" t="s">
        <v>1797</v>
      </c>
      <c r="C594" s="667" t="s">
        <v>926</v>
      </c>
      <c r="D594" s="641">
        <v>212181.48</v>
      </c>
      <c r="E594" s="695" t="s">
        <v>1795</v>
      </c>
      <c r="F594" s="124"/>
      <c r="G594" s="505"/>
    </row>
    <row r="595" spans="1:7" ht="25.5">
      <c r="A595" s="667">
        <v>7132230012</v>
      </c>
      <c r="B595" s="639" t="s">
        <v>1798</v>
      </c>
      <c r="C595" s="667" t="s">
        <v>926</v>
      </c>
      <c r="D595" s="641">
        <v>229882.12</v>
      </c>
      <c r="E595" s="662" t="s">
        <v>1799</v>
      </c>
      <c r="F595" s="124"/>
      <c r="G595" s="505"/>
    </row>
    <row r="596" spans="1:7" ht="25.5">
      <c r="A596" s="667">
        <v>7132230008</v>
      </c>
      <c r="B596" s="639" t="s">
        <v>1800</v>
      </c>
      <c r="C596" s="667" t="s">
        <v>926</v>
      </c>
      <c r="D596" s="641">
        <v>69481.96</v>
      </c>
      <c r="E596" s="662" t="s">
        <v>1802</v>
      </c>
      <c r="F596" s="124"/>
      <c r="G596" s="505"/>
    </row>
    <row r="597" spans="1:7" ht="25.5">
      <c r="A597" s="667">
        <v>7132230010</v>
      </c>
      <c r="B597" s="639" t="s">
        <v>1801</v>
      </c>
      <c r="C597" s="667" t="s">
        <v>926</v>
      </c>
      <c r="D597" s="641">
        <v>69481.96</v>
      </c>
      <c r="E597" s="662" t="s">
        <v>1803</v>
      </c>
      <c r="F597" s="124"/>
      <c r="G597" s="505"/>
    </row>
    <row r="598" spans="1:7" ht="39" customHeight="1">
      <c r="A598" s="673">
        <v>7131980004</v>
      </c>
      <c r="B598" s="644" t="s">
        <v>1804</v>
      </c>
      <c r="C598" s="640" t="s">
        <v>749</v>
      </c>
      <c r="D598" s="641">
        <v>231096.84</v>
      </c>
      <c r="E598" s="662"/>
      <c r="F598" s="124"/>
      <c r="G598" s="73"/>
    </row>
    <row r="599" spans="1:7" ht="40.5" customHeight="1">
      <c r="A599" s="673">
        <v>7131980005</v>
      </c>
      <c r="B599" s="644" t="s">
        <v>1805</v>
      </c>
      <c r="C599" s="640" t="s">
        <v>749</v>
      </c>
      <c r="D599" s="641">
        <v>427328.6</v>
      </c>
      <c r="E599" s="662"/>
      <c r="F599" s="124"/>
      <c r="G599" s="73"/>
    </row>
    <row r="600" spans="1:7" ht="39.75" customHeight="1">
      <c r="A600" s="673">
        <v>7131980006</v>
      </c>
      <c r="B600" s="644" t="s">
        <v>1806</v>
      </c>
      <c r="C600" s="640" t="s">
        <v>749</v>
      </c>
      <c r="D600" s="641">
        <v>518467.28</v>
      </c>
      <c r="E600" s="662"/>
      <c r="F600" s="124"/>
      <c r="G600" s="73"/>
    </row>
    <row r="601" spans="1:7" ht="66" customHeight="1">
      <c r="A601" s="673">
        <v>7131980007</v>
      </c>
      <c r="B601" s="644" t="s">
        <v>1807</v>
      </c>
      <c r="C601" s="640" t="s">
        <v>749</v>
      </c>
      <c r="D601" s="641">
        <v>826173.17</v>
      </c>
      <c r="E601" s="662"/>
      <c r="F601" s="124"/>
      <c r="G601" s="73"/>
    </row>
    <row r="602" spans="1:6" ht="78.75" customHeight="1">
      <c r="A602" s="673">
        <v>7131980008</v>
      </c>
      <c r="B602" s="644" t="s">
        <v>1808</v>
      </c>
      <c r="C602" s="640" t="s">
        <v>749</v>
      </c>
      <c r="D602" s="641">
        <v>1306570.86</v>
      </c>
      <c r="E602" s="662"/>
      <c r="F602" s="124"/>
    </row>
    <row r="603" spans="1:7" ht="25.5">
      <c r="A603" s="673">
        <v>7131980001</v>
      </c>
      <c r="B603" s="644" t="s">
        <v>1381</v>
      </c>
      <c r="C603" s="640" t="s">
        <v>749</v>
      </c>
      <c r="D603" s="667">
        <v>67737.07</v>
      </c>
      <c r="E603" s="662"/>
      <c r="F603" s="124"/>
      <c r="G603" s="605" t="s">
        <v>1718</v>
      </c>
    </row>
    <row r="604" spans="1:7" ht="25.5">
      <c r="A604" s="667">
        <v>7131920028</v>
      </c>
      <c r="B604" s="644" t="s">
        <v>260</v>
      </c>
      <c r="C604" s="640" t="s">
        <v>749</v>
      </c>
      <c r="D604" s="696">
        <v>10907.7</v>
      </c>
      <c r="E604" s="662"/>
      <c r="F604" s="124"/>
      <c r="G604" s="605" t="s">
        <v>1718</v>
      </c>
    </row>
    <row r="605" spans="1:7" ht="25.5">
      <c r="A605" s="667">
        <v>7132486843</v>
      </c>
      <c r="B605" s="644" t="s">
        <v>1386</v>
      </c>
      <c r="C605" s="640" t="s">
        <v>749</v>
      </c>
      <c r="D605" s="667">
        <v>8945.71</v>
      </c>
      <c r="E605" s="662"/>
      <c r="F605" s="124"/>
      <c r="G605" s="607" t="s">
        <v>1886</v>
      </c>
    </row>
    <row r="606" spans="1:7" ht="19.5" customHeight="1">
      <c r="A606" s="667">
        <v>7130840003</v>
      </c>
      <c r="B606" s="644" t="s">
        <v>1857</v>
      </c>
      <c r="C606" s="640" t="s">
        <v>749</v>
      </c>
      <c r="D606" s="667">
        <v>825.74</v>
      </c>
      <c r="E606" s="662"/>
      <c r="F606" s="124"/>
      <c r="G606" s="605" t="s">
        <v>1718</v>
      </c>
    </row>
    <row r="607" spans="1:7" ht="25.5">
      <c r="A607" s="667">
        <v>7131950396</v>
      </c>
      <c r="B607" s="697" t="s">
        <v>1858</v>
      </c>
      <c r="C607" s="640" t="s">
        <v>749</v>
      </c>
      <c r="D607" s="667">
        <v>125.46</v>
      </c>
      <c r="E607" s="662"/>
      <c r="F607" s="124"/>
      <c r="G607" s="605" t="s">
        <v>1718</v>
      </c>
    </row>
    <row r="608" spans="1:7" ht="17.25" customHeight="1">
      <c r="A608" s="667">
        <v>7132406800</v>
      </c>
      <c r="B608" s="698" t="s">
        <v>1892</v>
      </c>
      <c r="C608" s="683" t="s">
        <v>1890</v>
      </c>
      <c r="D608" s="699">
        <v>9412.76</v>
      </c>
      <c r="E608" s="662"/>
      <c r="F608" s="124"/>
      <c r="G608" s="605" t="s">
        <v>1718</v>
      </c>
    </row>
    <row r="609" spans="1:7" ht="30.75" customHeight="1">
      <c r="A609" s="700">
        <v>7130890973</v>
      </c>
      <c r="B609" s="639" t="s">
        <v>1475</v>
      </c>
      <c r="C609" s="640" t="s">
        <v>748</v>
      </c>
      <c r="D609" s="667">
        <v>58.95</v>
      </c>
      <c r="E609" s="662"/>
      <c r="F609" s="124"/>
      <c r="G609" s="605" t="s">
        <v>1718</v>
      </c>
    </row>
    <row r="610" spans="1:7" ht="30">
      <c r="A610" s="667">
        <v>7131210840</v>
      </c>
      <c r="B610" s="644" t="s">
        <v>1919</v>
      </c>
      <c r="C610" s="640" t="s">
        <v>749</v>
      </c>
      <c r="D610" s="667">
        <v>14104.76</v>
      </c>
      <c r="E610" s="662"/>
      <c r="F610" s="124"/>
      <c r="G610" s="610" t="s">
        <v>1920</v>
      </c>
    </row>
    <row r="611" spans="1:7" ht="14.25">
      <c r="A611" s="124"/>
      <c r="B611" s="104"/>
      <c r="C611" s="123"/>
      <c r="D611" s="124"/>
      <c r="E611" s="602"/>
      <c r="F611" s="124"/>
      <c r="G611" s="582"/>
    </row>
    <row r="612" spans="1:7" ht="14.25">
      <c r="A612" s="124"/>
      <c r="B612" s="104"/>
      <c r="C612" s="123"/>
      <c r="D612" s="124"/>
      <c r="E612" s="602"/>
      <c r="F612" s="124"/>
      <c r="G612" s="582"/>
    </row>
    <row r="613" spans="1:7" ht="14.25">
      <c r="A613" s="124"/>
      <c r="B613" s="104"/>
      <c r="C613" s="123"/>
      <c r="D613" s="124"/>
      <c r="E613" s="602"/>
      <c r="F613" s="124"/>
      <c r="G613" s="582"/>
    </row>
    <row r="614" spans="1:7" ht="14.25">
      <c r="A614" s="124"/>
      <c r="B614" s="104"/>
      <c r="C614" s="123"/>
      <c r="D614" s="124"/>
      <c r="E614" s="602"/>
      <c r="F614" s="124"/>
      <c r="G614" s="582"/>
    </row>
    <row r="615" spans="1:7" ht="14.25">
      <c r="A615" s="124"/>
      <c r="B615" s="104"/>
      <c r="C615" s="123"/>
      <c r="D615" s="124"/>
      <c r="E615" s="602"/>
      <c r="F615" s="124"/>
      <c r="G615" s="582"/>
    </row>
    <row r="616" spans="3:6" ht="12.75">
      <c r="C616" s="124"/>
      <c r="D616" s="124"/>
      <c r="E616" s="124"/>
      <c r="F616" s="124"/>
    </row>
    <row r="617" spans="1:12" ht="12.75">
      <c r="A617" s="124"/>
      <c r="B617" s="124"/>
      <c r="C617" s="124"/>
      <c r="D617" s="124"/>
      <c r="E617" s="124"/>
      <c r="F617" s="124"/>
      <c r="L617" s="588"/>
    </row>
    <row r="618" spans="1:12" ht="12.75">
      <c r="A618" s="124"/>
      <c r="B618" s="124"/>
      <c r="C618" s="124"/>
      <c r="D618" s="124"/>
      <c r="E618" s="124"/>
      <c r="F618" s="124"/>
      <c r="L618" s="588"/>
    </row>
    <row r="619" spans="1:12" ht="12.75">
      <c r="A619" s="124"/>
      <c r="B619" s="124"/>
      <c r="C619" s="124"/>
      <c r="D619" s="124"/>
      <c r="E619" s="124"/>
      <c r="F619" s="124"/>
      <c r="L619" s="588"/>
    </row>
    <row r="620" spans="1:12" ht="12.75">
      <c r="A620" s="124"/>
      <c r="B620" s="124"/>
      <c r="C620" s="124"/>
      <c r="D620" s="124"/>
      <c r="E620" s="124"/>
      <c r="F620" s="124"/>
      <c r="L620" s="588"/>
    </row>
    <row r="621" spans="1:12" ht="12.75">
      <c r="A621" s="124"/>
      <c r="B621" s="124"/>
      <c r="C621" s="124"/>
      <c r="D621" s="124"/>
      <c r="E621" s="124"/>
      <c r="F621" s="124"/>
      <c r="L621" s="588"/>
    </row>
    <row r="622" spans="1:12" ht="12.75">
      <c r="A622" s="124"/>
      <c r="B622" s="124"/>
      <c r="C622" s="124"/>
      <c r="D622" s="124"/>
      <c r="E622" s="124"/>
      <c r="F622" s="124"/>
      <c r="L622" s="588"/>
    </row>
    <row r="623" spans="1:12" ht="12.75">
      <c r="A623" s="124"/>
      <c r="B623" s="124"/>
      <c r="C623" s="124"/>
      <c r="D623" s="124"/>
      <c r="E623" s="124"/>
      <c r="F623" s="124"/>
      <c r="L623" s="588"/>
    </row>
    <row r="624" spans="1:12" ht="12.75">
      <c r="A624" s="124"/>
      <c r="B624" s="124"/>
      <c r="C624" s="124"/>
      <c r="D624" s="124"/>
      <c r="E624" s="124"/>
      <c r="F624" s="124"/>
      <c r="L624" s="588"/>
    </row>
    <row r="625" spans="1:12" ht="12.75">
      <c r="A625" s="124"/>
      <c r="B625" s="124"/>
      <c r="C625" s="124"/>
      <c r="D625" s="124"/>
      <c r="E625" s="124"/>
      <c r="F625" s="124"/>
      <c r="L625" s="588"/>
    </row>
    <row r="626" spans="1:12" ht="12.75">
      <c r="A626" s="124"/>
      <c r="B626" s="124"/>
      <c r="C626" s="124"/>
      <c r="D626" s="124"/>
      <c r="E626" s="124"/>
      <c r="F626" s="124"/>
      <c r="L626" s="588"/>
    </row>
    <row r="627" spans="1:12" ht="12.75">
      <c r="A627" s="124"/>
      <c r="B627" s="124"/>
      <c r="C627" s="124"/>
      <c r="D627" s="124"/>
      <c r="E627" s="124"/>
      <c r="F627" s="124"/>
      <c r="L627" s="588"/>
    </row>
    <row r="628" spans="1:12" ht="12.75">
      <c r="A628" s="124"/>
      <c r="B628" s="124"/>
      <c r="C628" s="124"/>
      <c r="D628" s="124"/>
      <c r="E628" s="124"/>
      <c r="F628" s="124"/>
      <c r="L628" s="588"/>
    </row>
    <row r="629" spans="1:12" ht="12.75">
      <c r="A629" s="124"/>
      <c r="B629" s="124"/>
      <c r="C629" s="124"/>
      <c r="D629" s="124"/>
      <c r="E629" s="124"/>
      <c r="F629" s="124"/>
      <c r="L629" s="588"/>
    </row>
    <row r="630" spans="1:6" ht="12.75">
      <c r="A630" s="124"/>
      <c r="B630" s="124"/>
      <c r="C630" s="124"/>
      <c r="D630" s="124"/>
      <c r="E630" s="124"/>
      <c r="F630" s="124"/>
    </row>
    <row r="631" spans="1:6" ht="12.75">
      <c r="A631" s="124"/>
      <c r="B631" s="124"/>
      <c r="C631" s="124"/>
      <c r="D631" s="124"/>
      <c r="E631" s="124"/>
      <c r="F631" s="124"/>
    </row>
    <row r="632" spans="1:6" ht="12.75">
      <c r="A632" s="124"/>
      <c r="B632" s="124"/>
      <c r="C632" s="124"/>
      <c r="D632" s="124"/>
      <c r="E632" s="124"/>
      <c r="F632" s="124"/>
    </row>
    <row r="633" spans="1:6" ht="12.75">
      <c r="A633" s="124"/>
      <c r="B633" s="124"/>
      <c r="C633" s="124"/>
      <c r="D633" s="124"/>
      <c r="E633" s="124"/>
      <c r="F633" s="124"/>
    </row>
    <row r="634" spans="1:6" ht="12.75">
      <c r="A634" s="124"/>
      <c r="B634" s="124"/>
      <c r="C634" s="124"/>
      <c r="D634" s="124"/>
      <c r="E634" s="124"/>
      <c r="F634" s="124"/>
    </row>
    <row r="635" spans="1:6" ht="12.75">
      <c r="A635" s="124"/>
      <c r="B635" s="124"/>
      <c r="C635" s="124"/>
      <c r="D635" s="124"/>
      <c r="E635" s="124"/>
      <c r="F635" s="124"/>
    </row>
    <row r="636" spans="1:6" ht="12.75">
      <c r="A636" s="124"/>
      <c r="B636" s="124"/>
      <c r="C636" s="124"/>
      <c r="D636" s="124"/>
      <c r="E636" s="124"/>
      <c r="F636" s="124"/>
    </row>
    <row r="637" spans="1:6" ht="12.75">
      <c r="A637" s="124"/>
      <c r="B637" s="124"/>
      <c r="C637" s="124"/>
      <c r="D637" s="124"/>
      <c r="E637" s="124"/>
      <c r="F637" s="124"/>
    </row>
    <row r="638" spans="1:6" ht="12.75">
      <c r="A638" s="124"/>
      <c r="B638" s="124"/>
      <c r="C638" s="124"/>
      <c r="D638" s="124"/>
      <c r="E638" s="124"/>
      <c r="F638" s="124"/>
    </row>
    <row r="639" spans="1:6" ht="12.75">
      <c r="A639" s="124"/>
      <c r="B639" s="124"/>
      <c r="C639" s="124"/>
      <c r="D639" s="124"/>
      <c r="E639" s="124"/>
      <c r="F639" s="124"/>
    </row>
    <row r="640" spans="1:6" ht="12.75">
      <c r="A640" s="124"/>
      <c r="B640" s="124"/>
      <c r="C640" s="124"/>
      <c r="D640" s="124"/>
      <c r="E640" s="124"/>
      <c r="F640" s="124"/>
    </row>
    <row r="641" spans="1:6" ht="12.75">
      <c r="A641" s="124"/>
      <c r="B641" s="124"/>
      <c r="C641" s="124"/>
      <c r="D641" s="124"/>
      <c r="E641" s="124"/>
      <c r="F641" s="124"/>
    </row>
    <row r="642" spans="1:6" ht="12.75">
      <c r="A642" s="124"/>
      <c r="B642" s="124"/>
      <c r="C642" s="124"/>
      <c r="D642" s="124"/>
      <c r="E642" s="124"/>
      <c r="F642" s="124"/>
    </row>
    <row r="643" spans="1:6" ht="12.75">
      <c r="A643" s="124"/>
      <c r="B643" s="124"/>
      <c r="C643" s="124"/>
      <c r="D643" s="124"/>
      <c r="E643" s="124"/>
      <c r="F643" s="124"/>
    </row>
    <row r="644" spans="1:6" ht="12.75">
      <c r="A644" s="124"/>
      <c r="B644" s="124"/>
      <c r="C644" s="124"/>
      <c r="D644" s="124"/>
      <c r="E644" s="124"/>
      <c r="F644" s="124"/>
    </row>
    <row r="645" spans="1:6" ht="12.75">
      <c r="A645" s="124"/>
      <c r="B645" s="124"/>
      <c r="C645" s="124"/>
      <c r="D645" s="124"/>
      <c r="E645" s="124"/>
      <c r="F645" s="124"/>
    </row>
    <row r="646" spans="1:6" ht="12.75">
      <c r="A646" s="124"/>
      <c r="B646" s="124"/>
      <c r="C646" s="124"/>
      <c r="D646" s="124"/>
      <c r="E646" s="124"/>
      <c r="F646" s="124"/>
    </row>
    <row r="647" spans="1:6" ht="12.75">
      <c r="A647" s="124"/>
      <c r="B647" s="124"/>
      <c r="C647" s="124"/>
      <c r="D647" s="124"/>
      <c r="E647" s="124"/>
      <c r="F647" s="124"/>
    </row>
    <row r="648" spans="1:6" ht="12.75">
      <c r="A648" s="124"/>
      <c r="B648" s="124"/>
      <c r="C648" s="124"/>
      <c r="D648" s="124"/>
      <c r="E648" s="124"/>
      <c r="F648" s="124"/>
    </row>
    <row r="649" spans="1:6" ht="12.75">
      <c r="A649" s="124"/>
      <c r="B649" s="124"/>
      <c r="C649" s="124"/>
      <c r="D649" s="124"/>
      <c r="E649" s="124"/>
      <c r="F649" s="124"/>
    </row>
    <row r="650" spans="1:6" ht="12.75">
      <c r="A650" s="124"/>
      <c r="B650" s="124"/>
      <c r="C650" s="124"/>
      <c r="D650" s="124"/>
      <c r="E650" s="124"/>
      <c r="F650" s="124"/>
    </row>
    <row r="651" spans="1:6" ht="12.75">
      <c r="A651" s="124"/>
      <c r="B651" s="124"/>
      <c r="C651" s="124"/>
      <c r="D651" s="124"/>
      <c r="E651" s="124"/>
      <c r="F651" s="124"/>
    </row>
    <row r="652" spans="1:6" ht="12.75">
      <c r="A652" s="124"/>
      <c r="B652" s="124"/>
      <c r="C652" s="124"/>
      <c r="D652" s="124"/>
      <c r="E652" s="124"/>
      <c r="F652" s="124"/>
    </row>
    <row r="653" spans="1:6" ht="12.75">
      <c r="A653" s="124"/>
      <c r="B653" s="124"/>
      <c r="C653" s="124"/>
      <c r="D653" s="124"/>
      <c r="E653" s="124"/>
      <c r="F653" s="124"/>
    </row>
    <row r="654" spans="1:6" ht="12.75">
      <c r="A654" s="124"/>
      <c r="B654" s="124"/>
      <c r="C654" s="124"/>
      <c r="D654" s="124"/>
      <c r="E654" s="124"/>
      <c r="F654" s="124"/>
    </row>
    <row r="655" spans="1:6" ht="12.75">
      <c r="A655" s="124"/>
      <c r="B655" s="124"/>
      <c r="C655" s="124"/>
      <c r="D655" s="124"/>
      <c r="E655" s="124"/>
      <c r="F655" s="124"/>
    </row>
    <row r="656" spans="1:6" ht="12.75">
      <c r="A656" s="124"/>
      <c r="B656" s="124"/>
      <c r="C656" s="124"/>
      <c r="D656" s="124"/>
      <c r="E656" s="124"/>
      <c r="F656" s="124"/>
    </row>
    <row r="657" spans="1:6" ht="12.75">
      <c r="A657" s="124"/>
      <c r="B657" s="124"/>
      <c r="C657" s="124"/>
      <c r="D657" s="124"/>
      <c r="E657" s="124"/>
      <c r="F657" s="124"/>
    </row>
    <row r="658" spans="1:6" ht="12.75">
      <c r="A658" s="124"/>
      <c r="B658" s="124"/>
      <c r="C658" s="124"/>
      <c r="D658" s="124"/>
      <c r="E658" s="124"/>
      <c r="F658" s="124"/>
    </row>
    <row r="659" spans="1:6" ht="12.75">
      <c r="A659" s="124"/>
      <c r="B659" s="124"/>
      <c r="C659" s="124"/>
      <c r="D659" s="124"/>
      <c r="E659" s="124"/>
      <c r="F659" s="124"/>
    </row>
    <row r="660" spans="1:6" ht="12.75">
      <c r="A660" s="124"/>
      <c r="B660" s="124"/>
      <c r="C660" s="124"/>
      <c r="D660" s="124"/>
      <c r="E660" s="124"/>
      <c r="F660" s="124"/>
    </row>
    <row r="661" spans="1:6" ht="12.75">
      <c r="A661" s="124"/>
      <c r="B661" s="124"/>
      <c r="C661" s="124"/>
      <c r="D661" s="124"/>
      <c r="E661" s="124"/>
      <c r="F661" s="124"/>
    </row>
    <row r="662" spans="1:6" ht="12.75">
      <c r="A662" s="124"/>
      <c r="B662" s="124"/>
      <c r="C662" s="124"/>
      <c r="D662" s="124"/>
      <c r="E662" s="124"/>
      <c r="F662" s="124"/>
    </row>
    <row r="663" spans="1:6" ht="12.75">
      <c r="A663" s="124"/>
      <c r="B663" s="124"/>
      <c r="C663" s="124"/>
      <c r="D663" s="124"/>
      <c r="E663" s="124"/>
      <c r="F663" s="124"/>
    </row>
    <row r="664" spans="1:6" ht="12.75">
      <c r="A664" s="124"/>
      <c r="B664" s="124"/>
      <c r="C664" s="124"/>
      <c r="D664" s="124"/>
      <c r="E664" s="124"/>
      <c r="F664" s="124"/>
    </row>
    <row r="665" spans="1:6" ht="12.75">
      <c r="A665" s="124"/>
      <c r="B665" s="124"/>
      <c r="C665" s="124"/>
      <c r="D665" s="124"/>
      <c r="E665" s="124"/>
      <c r="F665" s="124"/>
    </row>
    <row r="666" spans="1:6" ht="12.75">
      <c r="A666" s="124"/>
      <c r="B666" s="124"/>
      <c r="C666" s="124"/>
      <c r="D666" s="124"/>
      <c r="E666" s="124"/>
      <c r="F666" s="124"/>
    </row>
    <row r="667" spans="1:6" ht="12.75">
      <c r="A667" s="124"/>
      <c r="B667" s="124"/>
      <c r="C667" s="124"/>
      <c r="D667" s="124"/>
      <c r="E667" s="124"/>
      <c r="F667" s="124"/>
    </row>
    <row r="668" spans="1:6" ht="12.75">
      <c r="A668" s="124"/>
      <c r="B668" s="124"/>
      <c r="C668" s="124"/>
      <c r="D668" s="124"/>
      <c r="E668" s="124"/>
      <c r="F668" s="124"/>
    </row>
    <row r="669" spans="1:6" ht="12.75">
      <c r="A669" s="124"/>
      <c r="B669" s="124"/>
      <c r="C669" s="124"/>
      <c r="D669" s="124"/>
      <c r="E669" s="124"/>
      <c r="F669" s="124"/>
    </row>
    <row r="670" spans="1:6" ht="12.75">
      <c r="A670" s="124"/>
      <c r="B670" s="124"/>
      <c r="C670" s="124"/>
      <c r="D670" s="124"/>
      <c r="E670" s="124"/>
      <c r="F670" s="124"/>
    </row>
    <row r="671" spans="1:6" ht="12.75">
      <c r="A671" s="124"/>
      <c r="B671" s="124"/>
      <c r="C671" s="124"/>
      <c r="D671" s="124"/>
      <c r="E671" s="124"/>
      <c r="F671" s="124"/>
    </row>
    <row r="672" spans="1:6" ht="12.75">
      <c r="A672" s="124"/>
      <c r="B672" s="124"/>
      <c r="C672" s="124"/>
      <c r="D672" s="124"/>
      <c r="E672" s="124"/>
      <c r="F672" s="124"/>
    </row>
    <row r="673" spans="1:6" ht="12.75">
      <c r="A673" s="124"/>
      <c r="B673" s="124"/>
      <c r="C673" s="124"/>
      <c r="D673" s="124"/>
      <c r="E673" s="124"/>
      <c r="F673" s="124"/>
    </row>
    <row r="674" spans="1:6" ht="12.75">
      <c r="A674" s="124"/>
      <c r="B674" s="124"/>
      <c r="C674" s="124"/>
      <c r="D674" s="124"/>
      <c r="E674" s="124"/>
      <c r="F674" s="124"/>
    </row>
    <row r="675" spans="1:6" ht="12.75">
      <c r="A675" s="124"/>
      <c r="B675" s="124"/>
      <c r="C675" s="124"/>
      <c r="D675" s="124"/>
      <c r="E675" s="124"/>
      <c r="F675" s="124"/>
    </row>
    <row r="676" spans="1:6" ht="12.75">
      <c r="A676" s="124"/>
      <c r="B676" s="124"/>
      <c r="C676" s="124"/>
      <c r="D676" s="124"/>
      <c r="E676" s="124"/>
      <c r="F676" s="124"/>
    </row>
    <row r="677" spans="1:6" ht="12.75">
      <c r="A677" s="33"/>
      <c r="B677" s="33"/>
      <c r="C677" s="33"/>
      <c r="D677" s="33"/>
      <c r="E677" s="33"/>
      <c r="F677" s="33"/>
    </row>
    <row r="678" spans="1:6" ht="12.75">
      <c r="A678" s="33"/>
      <c r="B678" s="33"/>
      <c r="C678" s="33"/>
      <c r="D678" s="33"/>
      <c r="E678" s="33"/>
      <c r="F678" s="33"/>
    </row>
    <row r="679" spans="1:6" ht="12.75">
      <c r="A679" s="33"/>
      <c r="B679" s="33"/>
      <c r="C679" s="33"/>
      <c r="D679" s="33"/>
      <c r="E679" s="33"/>
      <c r="F679" s="33"/>
    </row>
    <row r="680" spans="1:6" ht="12.75">
      <c r="A680" s="33"/>
      <c r="B680" s="33"/>
      <c r="C680" s="33"/>
      <c r="D680" s="33"/>
      <c r="E680" s="33"/>
      <c r="F680" s="33"/>
    </row>
    <row r="681" spans="1:6" ht="12.75">
      <c r="A681" s="33"/>
      <c r="B681" s="33"/>
      <c r="C681" s="33"/>
      <c r="D681" s="33"/>
      <c r="E681" s="33"/>
      <c r="F681" s="33"/>
    </row>
    <row r="682" spans="1:6" ht="12.75">
      <c r="A682" s="33"/>
      <c r="B682" s="33"/>
      <c r="C682" s="33"/>
      <c r="D682" s="33"/>
      <c r="E682" s="33"/>
      <c r="F682" s="33"/>
    </row>
    <row r="683" spans="1:6" ht="12.75">
      <c r="A683" s="33"/>
      <c r="B683" s="33"/>
      <c r="C683" s="33"/>
      <c r="D683" s="33"/>
      <c r="E683" s="33"/>
      <c r="F683" s="33"/>
    </row>
    <row r="684" spans="1:6" ht="12.75">
      <c r="A684" s="33"/>
      <c r="B684" s="33"/>
      <c r="C684" s="33"/>
      <c r="D684" s="33"/>
      <c r="E684" s="33"/>
      <c r="F684" s="33"/>
    </row>
    <row r="685" spans="1:6" ht="12.75">
      <c r="A685" s="33"/>
      <c r="B685" s="33"/>
      <c r="C685" s="33"/>
      <c r="D685" s="33"/>
      <c r="E685" s="33"/>
      <c r="F685" s="33"/>
    </row>
    <row r="686" spans="1:6" ht="12.75">
      <c r="A686" s="33"/>
      <c r="B686" s="33"/>
      <c r="C686" s="33"/>
      <c r="D686" s="33"/>
      <c r="E686" s="33"/>
      <c r="F686" s="33"/>
    </row>
    <row r="687" spans="1:6" ht="12.75">
      <c r="A687" s="33"/>
      <c r="B687" s="33"/>
      <c r="C687" s="33"/>
      <c r="D687" s="33"/>
      <c r="E687" s="33"/>
      <c r="F687" s="33"/>
    </row>
    <row r="688" spans="1:6" ht="12.75">
      <c r="A688" s="33"/>
      <c r="B688" s="33"/>
      <c r="C688" s="33"/>
      <c r="D688" s="33"/>
      <c r="E688" s="33"/>
      <c r="F688" s="33"/>
    </row>
    <row r="689" spans="1:6" ht="12.75">
      <c r="A689" s="33"/>
      <c r="B689" s="33"/>
      <c r="C689" s="33"/>
      <c r="D689" s="33"/>
      <c r="E689" s="33"/>
      <c r="F689" s="33"/>
    </row>
    <row r="690" spans="1:6" ht="12.75">
      <c r="A690" s="33"/>
      <c r="B690" s="33"/>
      <c r="C690" s="33"/>
      <c r="D690" s="33"/>
      <c r="E690" s="33"/>
      <c r="F690" s="33"/>
    </row>
    <row r="691" spans="1:6" ht="12.75">
      <c r="A691" s="33"/>
      <c r="B691" s="33"/>
      <c r="C691" s="33"/>
      <c r="D691" s="33"/>
      <c r="E691" s="33"/>
      <c r="F691" s="33"/>
    </row>
    <row r="692" spans="1:6" ht="12.75">
      <c r="A692" s="33"/>
      <c r="B692" s="33"/>
      <c r="C692" s="33"/>
      <c r="D692" s="33"/>
      <c r="E692" s="33"/>
      <c r="F692" s="33"/>
    </row>
    <row r="693" spans="1:6" ht="12.75">
      <c r="A693" s="33"/>
      <c r="B693" s="33"/>
      <c r="C693" s="33"/>
      <c r="D693" s="33"/>
      <c r="E693" s="33"/>
      <c r="F693" s="33"/>
    </row>
    <row r="694" spans="1:6" ht="12.75">
      <c r="A694" s="33"/>
      <c r="B694" s="33"/>
      <c r="C694" s="33"/>
      <c r="D694" s="33"/>
      <c r="E694" s="33"/>
      <c r="F694" s="33"/>
    </row>
    <row r="695" spans="1:6" ht="12.75">
      <c r="A695" s="33"/>
      <c r="B695" s="33"/>
      <c r="C695" s="33"/>
      <c r="D695" s="33"/>
      <c r="E695" s="33"/>
      <c r="F695" s="33"/>
    </row>
    <row r="696" spans="1:6" ht="12.75">
      <c r="A696" s="33"/>
      <c r="B696" s="33"/>
      <c r="C696" s="33"/>
      <c r="D696" s="33"/>
      <c r="E696" s="33"/>
      <c r="F696" s="33"/>
    </row>
  </sheetData>
  <sheetProtection/>
  <mergeCells count="2">
    <mergeCell ref="H92:I92"/>
    <mergeCell ref="F3:G3"/>
  </mergeCells>
  <conditionalFormatting sqref="A556">
    <cfRule type="expression" priority="1" dxfId="12" stopIfTrue="1">
      <formula>AND(COUNTIF($B:$B,A556)&gt;1,NOT(ISBLANK(A556)))</formula>
    </cfRule>
  </conditionalFormatting>
  <printOptions/>
  <pageMargins left="0.7" right="0.18" top="0.75" bottom="0.75" header="0.3" footer="0.3"/>
  <pageSetup horizontalDpi="600" verticalDpi="600" orientation="landscape" paperSize="9" scale="9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Q66"/>
  <sheetViews>
    <sheetView zoomScalePageLayoutView="0" workbookViewId="0" topLeftCell="A1">
      <pane xSplit="2" ySplit="9" topLeftCell="C37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P13" sqref="P13"/>
    </sheetView>
  </sheetViews>
  <sheetFormatPr defaultColWidth="9.140625" defaultRowHeight="12.75"/>
  <cols>
    <col min="1" max="1" width="4.140625" style="540" customWidth="1"/>
    <col min="2" max="2" width="36.57421875" style="1" customWidth="1"/>
    <col min="3" max="3" width="14.28125" style="345" customWidth="1"/>
    <col min="4" max="4" width="7.140625" style="1" customWidth="1"/>
    <col min="5" max="5" width="8.57421875" style="1" customWidth="1"/>
    <col min="6" max="6" width="6.7109375" style="1" customWidth="1"/>
    <col min="7" max="7" width="11.7109375" style="1" customWidth="1"/>
    <col min="8" max="8" width="7.421875" style="1" customWidth="1"/>
    <col min="9" max="9" width="12.00390625" style="1" bestFit="1" customWidth="1"/>
    <col min="10" max="10" width="6.7109375" style="1" bestFit="1" customWidth="1"/>
    <col min="11" max="11" width="11.7109375" style="1" customWidth="1"/>
    <col min="12" max="12" width="6.7109375" style="1" bestFit="1" customWidth="1"/>
    <col min="13" max="13" width="12.00390625" style="1" customWidth="1"/>
    <col min="14" max="14" width="6.57421875" style="1" customWidth="1"/>
    <col min="15" max="15" width="12.00390625" style="1" customWidth="1"/>
    <col min="16" max="16" width="21.00390625" style="1" customWidth="1"/>
    <col min="17" max="17" width="20.7109375" style="1" bestFit="1" customWidth="1"/>
    <col min="18" max="18" width="12.57421875" style="1" customWidth="1"/>
    <col min="19" max="16384" width="9.140625" style="1" customWidth="1"/>
  </cols>
  <sheetData>
    <row r="1" spans="2:15" ht="18">
      <c r="B1" s="34"/>
      <c r="C1" s="34"/>
      <c r="D1" s="34"/>
      <c r="E1" s="1066" t="s">
        <v>1387</v>
      </c>
      <c r="F1" s="1066"/>
      <c r="G1" s="1066"/>
      <c r="H1" s="1066"/>
      <c r="I1" s="1066"/>
      <c r="J1" s="34"/>
      <c r="K1" s="34"/>
      <c r="L1" s="34"/>
      <c r="M1" s="34"/>
      <c r="N1" s="34"/>
      <c r="O1" s="34"/>
    </row>
    <row r="2" ht="9.75" customHeight="1"/>
    <row r="3" spans="2:15" ht="34.5" customHeight="1">
      <c r="B3" s="1068" t="s">
        <v>1388</v>
      </c>
      <c r="C3" s="1068"/>
      <c r="D3" s="1068"/>
      <c r="E3" s="1068"/>
      <c r="F3" s="1068"/>
      <c r="G3" s="1068"/>
      <c r="H3" s="1068"/>
      <c r="I3" s="1068"/>
      <c r="J3" s="1068"/>
      <c r="K3" s="1068"/>
      <c r="L3" s="36"/>
      <c r="M3" s="36"/>
      <c r="N3" s="36"/>
      <c r="O3" s="36"/>
    </row>
    <row r="4" spans="1:15" ht="9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1:15" ht="15.7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548" t="s">
        <v>1823</v>
      </c>
    </row>
    <row r="6" spans="1:15" ht="9.75" customHeight="1">
      <c r="A6" s="541"/>
      <c r="B6" s="33"/>
      <c r="C6" s="3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</row>
    <row r="7" spans="1:15" ht="60.75" customHeight="1">
      <c r="A7" s="1079" t="s">
        <v>1330</v>
      </c>
      <c r="B7" s="1079" t="s">
        <v>16</v>
      </c>
      <c r="C7" s="1092" t="s">
        <v>1389</v>
      </c>
      <c r="D7" s="1093" t="s">
        <v>17</v>
      </c>
      <c r="E7" s="1079" t="s">
        <v>746</v>
      </c>
      <c r="F7" s="1079" t="s">
        <v>1390</v>
      </c>
      <c r="G7" s="1079"/>
      <c r="H7" s="1079" t="s">
        <v>1391</v>
      </c>
      <c r="I7" s="1079"/>
      <c r="J7" s="1079" t="s">
        <v>1392</v>
      </c>
      <c r="K7" s="1079"/>
      <c r="L7" s="1079" t="s">
        <v>1393</v>
      </c>
      <c r="M7" s="1079"/>
      <c r="N7" s="1079" t="s">
        <v>1394</v>
      </c>
      <c r="O7" s="1079"/>
    </row>
    <row r="8" spans="1:15" ht="15">
      <c r="A8" s="1079"/>
      <c r="B8" s="1079"/>
      <c r="C8" s="1092"/>
      <c r="D8" s="1093"/>
      <c r="E8" s="1079"/>
      <c r="F8" s="525" t="s">
        <v>18</v>
      </c>
      <c r="G8" s="525" t="s">
        <v>1176</v>
      </c>
      <c r="H8" s="525" t="s">
        <v>18</v>
      </c>
      <c r="I8" s="525" t="s">
        <v>1176</v>
      </c>
      <c r="J8" s="525" t="s">
        <v>18</v>
      </c>
      <c r="K8" s="525" t="s">
        <v>1176</v>
      </c>
      <c r="L8" s="525" t="s">
        <v>18</v>
      </c>
      <c r="M8" s="525" t="s">
        <v>747</v>
      </c>
      <c r="N8" s="525" t="s">
        <v>18</v>
      </c>
      <c r="O8" s="525" t="s">
        <v>747</v>
      </c>
    </row>
    <row r="9" spans="1:15" s="35" customFormat="1" ht="15">
      <c r="A9" s="314">
        <v>1</v>
      </c>
      <c r="B9" s="314">
        <v>2</v>
      </c>
      <c r="C9" s="314">
        <v>3</v>
      </c>
      <c r="D9" s="314">
        <v>4</v>
      </c>
      <c r="E9" s="314">
        <v>5</v>
      </c>
      <c r="F9" s="314">
        <v>6</v>
      </c>
      <c r="G9" s="314">
        <v>7</v>
      </c>
      <c r="H9" s="314">
        <v>8</v>
      </c>
      <c r="I9" s="314">
        <v>9</v>
      </c>
      <c r="J9" s="314">
        <v>10</v>
      </c>
      <c r="K9" s="314">
        <v>11</v>
      </c>
      <c r="L9" s="314">
        <v>12</v>
      </c>
      <c r="M9" s="314">
        <v>13</v>
      </c>
      <c r="N9" s="314">
        <v>14</v>
      </c>
      <c r="O9" s="314">
        <v>15</v>
      </c>
    </row>
    <row r="10" spans="1:15" ht="15" customHeight="1">
      <c r="A10" s="496">
        <v>1</v>
      </c>
      <c r="B10" s="502" t="s">
        <v>1395</v>
      </c>
      <c r="C10" s="754">
        <v>7130800012</v>
      </c>
      <c r="D10" s="862" t="s">
        <v>19</v>
      </c>
      <c r="E10" s="275">
        <f>VLOOKUP(C10,'SOR RATE'!A:D,4,0)</f>
        <v>2255.2</v>
      </c>
      <c r="F10" s="496">
        <v>17</v>
      </c>
      <c r="G10" s="275">
        <f>F10*E10</f>
        <v>38338.399999999994</v>
      </c>
      <c r="H10" s="496">
        <v>17</v>
      </c>
      <c r="I10" s="275">
        <f>H10*E10</f>
        <v>38338.399999999994</v>
      </c>
      <c r="J10" s="496">
        <v>17</v>
      </c>
      <c r="K10" s="275">
        <f>J10*E10</f>
        <v>38338.399999999994</v>
      </c>
      <c r="L10" s="496">
        <v>17</v>
      </c>
      <c r="M10" s="275">
        <f>L10*E10</f>
        <v>38338.399999999994</v>
      </c>
      <c r="N10" s="496">
        <v>17</v>
      </c>
      <c r="O10" s="275">
        <f>N10*E10</f>
        <v>38338.399999999994</v>
      </c>
    </row>
    <row r="11" spans="1:15" ht="16.5" customHeight="1">
      <c r="A11" s="496">
        <v>2</v>
      </c>
      <c r="B11" s="502" t="s">
        <v>1396</v>
      </c>
      <c r="C11" s="754">
        <v>7130810461</v>
      </c>
      <c r="D11" s="862" t="s">
        <v>19</v>
      </c>
      <c r="E11" s="275">
        <f>VLOOKUP(C11,'SOR RATE'!A:D,4,0)</f>
        <v>862.11</v>
      </c>
      <c r="F11" s="496">
        <v>22</v>
      </c>
      <c r="G11" s="275">
        <f>F11*E11</f>
        <v>18966.420000000002</v>
      </c>
      <c r="H11" s="496">
        <v>22</v>
      </c>
      <c r="I11" s="275">
        <f>H11*E11</f>
        <v>18966.420000000002</v>
      </c>
      <c r="J11" s="496">
        <v>22</v>
      </c>
      <c r="K11" s="275">
        <f>J11*E11</f>
        <v>18966.420000000002</v>
      </c>
      <c r="L11" s="496">
        <v>22</v>
      </c>
      <c r="M11" s="275">
        <f>L11*E11</f>
        <v>18966.420000000002</v>
      </c>
      <c r="N11" s="496">
        <v>22</v>
      </c>
      <c r="O11" s="275">
        <f>N11*E11</f>
        <v>18966.420000000002</v>
      </c>
    </row>
    <row r="12" spans="1:15" ht="30.75" customHeight="1">
      <c r="A12" s="723">
        <v>3</v>
      </c>
      <c r="B12" s="756" t="s">
        <v>1915</v>
      </c>
      <c r="C12" s="754">
        <v>7130820106</v>
      </c>
      <c r="D12" s="334" t="s">
        <v>19</v>
      </c>
      <c r="E12" s="275">
        <f>VLOOKUP(C12,'SOR RATE'!A:D,4,0)</f>
        <v>12.82</v>
      </c>
      <c r="F12" s="496">
        <v>88</v>
      </c>
      <c r="G12" s="275">
        <f>F12*E12</f>
        <v>1128.16</v>
      </c>
      <c r="H12" s="496">
        <v>88</v>
      </c>
      <c r="I12" s="275">
        <f>H12*E12</f>
        <v>1128.16</v>
      </c>
      <c r="J12" s="496">
        <v>88</v>
      </c>
      <c r="K12" s="275">
        <f>J12*E12</f>
        <v>1128.16</v>
      </c>
      <c r="L12" s="496">
        <v>88</v>
      </c>
      <c r="M12" s="275">
        <f>L12*E12</f>
        <v>1128.16</v>
      </c>
      <c r="N12" s="496">
        <v>88</v>
      </c>
      <c r="O12" s="275">
        <f>N12*E12</f>
        <v>1128.16</v>
      </c>
    </row>
    <row r="13" spans="1:15" ht="29.25" customHeight="1">
      <c r="A13" s="496">
        <v>4</v>
      </c>
      <c r="B13" s="756" t="s">
        <v>1397</v>
      </c>
      <c r="C13" s="754">
        <v>7130820216</v>
      </c>
      <c r="D13" s="862" t="s">
        <v>19</v>
      </c>
      <c r="E13" s="275">
        <f>VLOOKUP(C13,'SOR RATE'!A:D,4,0)</f>
        <v>40.64</v>
      </c>
      <c r="F13" s="496">
        <v>30</v>
      </c>
      <c r="G13" s="275">
        <f>F13*E13</f>
        <v>1219.2</v>
      </c>
      <c r="H13" s="496">
        <v>30</v>
      </c>
      <c r="I13" s="275">
        <f>H13*E13</f>
        <v>1219.2</v>
      </c>
      <c r="J13" s="496">
        <v>30</v>
      </c>
      <c r="K13" s="275">
        <f>J13*E13</f>
        <v>1219.2</v>
      </c>
      <c r="L13" s="496">
        <v>30</v>
      </c>
      <c r="M13" s="275">
        <f>L13*E13</f>
        <v>1219.2</v>
      </c>
      <c r="N13" s="496">
        <v>30</v>
      </c>
      <c r="O13" s="275">
        <f>N13*E13</f>
        <v>1219.2</v>
      </c>
    </row>
    <row r="14" spans="1:15" ht="16.5" customHeight="1">
      <c r="A14" s="496">
        <v>5</v>
      </c>
      <c r="B14" s="502" t="s">
        <v>1398</v>
      </c>
      <c r="C14" s="754">
        <v>7130820201</v>
      </c>
      <c r="D14" s="862" t="s">
        <v>19</v>
      </c>
      <c r="E14" s="275">
        <f>VLOOKUP(C14,'SOR RATE'!A:D,4,0)</f>
        <v>35.61</v>
      </c>
      <c r="F14" s="496">
        <v>17</v>
      </c>
      <c r="G14" s="275">
        <f>F14*E14</f>
        <v>605.37</v>
      </c>
      <c r="H14" s="496">
        <v>17</v>
      </c>
      <c r="I14" s="275">
        <f>H14*E14</f>
        <v>605.37</v>
      </c>
      <c r="J14" s="496">
        <v>17</v>
      </c>
      <c r="K14" s="275">
        <f>J14*E14</f>
        <v>605.37</v>
      </c>
      <c r="L14" s="496">
        <v>17</v>
      </c>
      <c r="M14" s="275">
        <f>L14*E14</f>
        <v>605.37</v>
      </c>
      <c r="N14" s="496">
        <v>17</v>
      </c>
      <c r="O14" s="275">
        <f>N14*E14</f>
        <v>605.37</v>
      </c>
    </row>
    <row r="15" spans="1:15" ht="14.25">
      <c r="A15" s="1082">
        <v>6</v>
      </c>
      <c r="B15" s="782" t="s">
        <v>1399</v>
      </c>
      <c r="C15" s="782"/>
      <c r="D15" s="834"/>
      <c r="E15" s="834"/>
      <c r="F15" s="834"/>
      <c r="G15" s="834"/>
      <c r="H15" s="834"/>
      <c r="I15" s="834"/>
      <c r="J15" s="834"/>
      <c r="K15" s="834"/>
      <c r="L15" s="834"/>
      <c r="M15" s="834"/>
      <c r="N15" s="834"/>
      <c r="O15" s="835"/>
    </row>
    <row r="16" spans="1:15" ht="14.25">
      <c r="A16" s="1083"/>
      <c r="B16" s="502" t="s">
        <v>1400</v>
      </c>
      <c r="C16" s="754">
        <v>7130830057</v>
      </c>
      <c r="D16" s="862" t="s">
        <v>980</v>
      </c>
      <c r="E16" s="275">
        <f>VLOOKUP(C16,'SOR RATE'!A:D,4,0)/1000</f>
        <v>33.94858</v>
      </c>
      <c r="F16" s="496">
        <v>4120</v>
      </c>
      <c r="G16" s="275">
        <f>F16*E16</f>
        <v>139868.1496</v>
      </c>
      <c r="H16" s="763">
        <v>3090</v>
      </c>
      <c r="I16" s="275">
        <f>H16*E16</f>
        <v>104901.1122</v>
      </c>
      <c r="J16" s="763" t="s">
        <v>902</v>
      </c>
      <c r="K16" s="275"/>
      <c r="L16" s="763" t="s">
        <v>902</v>
      </c>
      <c r="M16" s="275"/>
      <c r="N16" s="763" t="s">
        <v>902</v>
      </c>
      <c r="O16" s="275"/>
    </row>
    <row r="17" spans="1:15" ht="14.25">
      <c r="A17" s="1083"/>
      <c r="B17" s="502" t="s">
        <v>1401</v>
      </c>
      <c r="C17" s="754">
        <v>7130830055</v>
      </c>
      <c r="D17" s="862" t="s">
        <v>980</v>
      </c>
      <c r="E17" s="275">
        <f>VLOOKUP(C17,'SOR RATE'!A:D,4,0)/1000</f>
        <v>20.60463</v>
      </c>
      <c r="F17" s="763" t="s">
        <v>902</v>
      </c>
      <c r="G17" s="275"/>
      <c r="H17" s="763" t="s">
        <v>902</v>
      </c>
      <c r="I17" s="275"/>
      <c r="J17" s="763">
        <v>4120</v>
      </c>
      <c r="K17" s="275">
        <f aca="true" t="shared" si="0" ref="K17:K24">J17*E17</f>
        <v>84891.0756</v>
      </c>
      <c r="L17" s="496">
        <v>3090</v>
      </c>
      <c r="M17" s="275">
        <f aca="true" t="shared" si="1" ref="M17:M24">L17*E17</f>
        <v>63668.3067</v>
      </c>
      <c r="N17" s="763" t="s">
        <v>902</v>
      </c>
      <c r="O17" s="275"/>
    </row>
    <row r="18" spans="1:15" ht="14.25">
      <c r="A18" s="1084"/>
      <c r="B18" s="502" t="s">
        <v>1402</v>
      </c>
      <c r="C18" s="754">
        <v>7130830053</v>
      </c>
      <c r="D18" s="862" t="s">
        <v>980</v>
      </c>
      <c r="E18" s="275">
        <f>VLOOKUP(C18,'SOR RATE'!A:D,4,0)/1000</f>
        <v>14.0663</v>
      </c>
      <c r="F18" s="496">
        <v>1030</v>
      </c>
      <c r="G18" s="275">
        <f aca="true" t="shared" si="2" ref="G18:G24">F18*E18</f>
        <v>14488.289</v>
      </c>
      <c r="H18" s="760">
        <v>2060</v>
      </c>
      <c r="I18" s="275">
        <f aca="true" t="shared" si="3" ref="I18:I24">H18*E18</f>
        <v>28976.578</v>
      </c>
      <c r="J18" s="760">
        <v>1030</v>
      </c>
      <c r="K18" s="275">
        <f t="shared" si="0"/>
        <v>14488.289</v>
      </c>
      <c r="L18" s="760">
        <v>2060</v>
      </c>
      <c r="M18" s="275">
        <f t="shared" si="1"/>
        <v>28976.578</v>
      </c>
      <c r="N18" s="760">
        <v>5150</v>
      </c>
      <c r="O18" s="275">
        <f aca="true" t="shared" si="4" ref="O18:O24">N18*E18</f>
        <v>72441.445</v>
      </c>
    </row>
    <row r="19" spans="1:15" ht="14.25">
      <c r="A19" s="1082">
        <v>7</v>
      </c>
      <c r="B19" s="502" t="s">
        <v>1350</v>
      </c>
      <c r="C19" s="754">
        <v>7130860032</v>
      </c>
      <c r="D19" s="862" t="s">
        <v>19</v>
      </c>
      <c r="E19" s="275">
        <f>VLOOKUP(C19,'SOR RATE'!A:D,4,0)</f>
        <v>441.23</v>
      </c>
      <c r="F19" s="496">
        <v>9</v>
      </c>
      <c r="G19" s="275">
        <f t="shared" si="2"/>
        <v>3971.07</v>
      </c>
      <c r="H19" s="496">
        <v>9</v>
      </c>
      <c r="I19" s="275">
        <f t="shared" si="3"/>
        <v>3971.07</v>
      </c>
      <c r="J19" s="496">
        <v>9</v>
      </c>
      <c r="K19" s="275">
        <f t="shared" si="0"/>
        <v>3971.07</v>
      </c>
      <c r="L19" s="496">
        <v>9</v>
      </c>
      <c r="M19" s="275">
        <f t="shared" si="1"/>
        <v>3971.07</v>
      </c>
      <c r="N19" s="496">
        <v>9</v>
      </c>
      <c r="O19" s="275">
        <f t="shared" si="4"/>
        <v>3971.07</v>
      </c>
    </row>
    <row r="20" spans="1:15" ht="14.25">
      <c r="A20" s="1083"/>
      <c r="B20" s="502" t="s">
        <v>1403</v>
      </c>
      <c r="C20" s="754">
        <v>7130860077</v>
      </c>
      <c r="D20" s="862" t="s">
        <v>907</v>
      </c>
      <c r="E20" s="275">
        <f>VLOOKUP(C20,'SOR RATE'!A:D,4,0)/1000</f>
        <v>70.43964</v>
      </c>
      <c r="F20" s="496">
        <v>54</v>
      </c>
      <c r="G20" s="275">
        <f t="shared" si="2"/>
        <v>3803.7405599999997</v>
      </c>
      <c r="H20" s="496">
        <v>54</v>
      </c>
      <c r="I20" s="275">
        <f t="shared" si="3"/>
        <v>3803.7405599999997</v>
      </c>
      <c r="J20" s="496">
        <v>54</v>
      </c>
      <c r="K20" s="275">
        <f t="shared" si="0"/>
        <v>3803.7405599999997</v>
      </c>
      <c r="L20" s="496">
        <v>54</v>
      </c>
      <c r="M20" s="275">
        <f t="shared" si="1"/>
        <v>3803.7405599999997</v>
      </c>
      <c r="N20" s="496">
        <v>54</v>
      </c>
      <c r="O20" s="275">
        <f t="shared" si="4"/>
        <v>3803.7405599999997</v>
      </c>
    </row>
    <row r="21" spans="1:15" ht="14.25">
      <c r="A21" s="1083"/>
      <c r="B21" s="502" t="s">
        <v>1355</v>
      </c>
      <c r="C21" s="754">
        <v>7130810026</v>
      </c>
      <c r="D21" s="862" t="s">
        <v>745</v>
      </c>
      <c r="E21" s="275">
        <f>VLOOKUP(C21,'SOR RATE'!A182:D182,4,0)</f>
        <v>155.99</v>
      </c>
      <c r="F21" s="496">
        <v>9</v>
      </c>
      <c r="G21" s="275">
        <f t="shared" si="2"/>
        <v>1403.91</v>
      </c>
      <c r="H21" s="496">
        <v>9</v>
      </c>
      <c r="I21" s="275">
        <f t="shared" si="3"/>
        <v>1403.91</v>
      </c>
      <c r="J21" s="496">
        <v>9</v>
      </c>
      <c r="K21" s="275">
        <f t="shared" si="0"/>
        <v>1403.91</v>
      </c>
      <c r="L21" s="496">
        <v>9</v>
      </c>
      <c r="M21" s="275">
        <f t="shared" si="1"/>
        <v>1403.91</v>
      </c>
      <c r="N21" s="496">
        <v>9</v>
      </c>
      <c r="O21" s="275">
        <f t="shared" si="4"/>
        <v>1403.91</v>
      </c>
    </row>
    <row r="22" spans="1:15" ht="14.25">
      <c r="A22" s="1084"/>
      <c r="B22" s="502" t="s">
        <v>1404</v>
      </c>
      <c r="C22" s="754">
        <v>7130820117</v>
      </c>
      <c r="D22" s="862" t="s">
        <v>19</v>
      </c>
      <c r="E22" s="275">
        <f>VLOOKUP(C22,'SOR RATE'!A:D,4,0)</f>
        <v>10.78</v>
      </c>
      <c r="F22" s="496">
        <v>9</v>
      </c>
      <c r="G22" s="275">
        <f t="shared" si="2"/>
        <v>97.02</v>
      </c>
      <c r="H22" s="496">
        <v>9</v>
      </c>
      <c r="I22" s="275">
        <f t="shared" si="3"/>
        <v>97.02</v>
      </c>
      <c r="J22" s="496">
        <v>9</v>
      </c>
      <c r="K22" s="275">
        <f t="shared" si="0"/>
        <v>97.02</v>
      </c>
      <c r="L22" s="496">
        <v>9</v>
      </c>
      <c r="M22" s="275">
        <f t="shared" si="1"/>
        <v>97.02</v>
      </c>
      <c r="N22" s="496">
        <v>9</v>
      </c>
      <c r="O22" s="275">
        <f t="shared" si="4"/>
        <v>97.02</v>
      </c>
    </row>
    <row r="23" spans="1:15" ht="14.25">
      <c r="A23" s="496">
        <v>8</v>
      </c>
      <c r="B23" s="502" t="s">
        <v>1405</v>
      </c>
      <c r="C23" s="754">
        <v>7130820018</v>
      </c>
      <c r="D23" s="862" t="s">
        <v>745</v>
      </c>
      <c r="E23" s="275">
        <f>VLOOKUP(C23,'SOR RATE'!A:D,4,0)</f>
        <v>4.05</v>
      </c>
      <c r="F23" s="496">
        <v>44</v>
      </c>
      <c r="G23" s="275">
        <f t="shared" si="2"/>
        <v>178.2</v>
      </c>
      <c r="H23" s="496">
        <v>44</v>
      </c>
      <c r="I23" s="275">
        <f t="shared" si="3"/>
        <v>178.2</v>
      </c>
      <c r="J23" s="496">
        <v>44</v>
      </c>
      <c r="K23" s="275">
        <f t="shared" si="0"/>
        <v>178.2</v>
      </c>
      <c r="L23" s="496">
        <v>44</v>
      </c>
      <c r="M23" s="275">
        <f t="shared" si="1"/>
        <v>178.2</v>
      </c>
      <c r="N23" s="496">
        <v>44</v>
      </c>
      <c r="O23" s="275">
        <f t="shared" si="4"/>
        <v>178.2</v>
      </c>
    </row>
    <row r="24" spans="1:15" ht="14.25">
      <c r="A24" s="723">
        <v>9</v>
      </c>
      <c r="B24" s="863" t="s">
        <v>1352</v>
      </c>
      <c r="C24" s="754">
        <v>7130830006</v>
      </c>
      <c r="D24" s="862" t="s">
        <v>907</v>
      </c>
      <c r="E24" s="275">
        <f>VLOOKUP(C24,'SOR RATE'!A:D,4,0)</f>
        <v>155.45</v>
      </c>
      <c r="F24" s="496">
        <v>3.5</v>
      </c>
      <c r="G24" s="275">
        <f t="shared" si="2"/>
        <v>544.0749999999999</v>
      </c>
      <c r="H24" s="496">
        <v>3.5</v>
      </c>
      <c r="I24" s="275">
        <f t="shared" si="3"/>
        <v>544.0749999999999</v>
      </c>
      <c r="J24" s="496">
        <v>3.5</v>
      </c>
      <c r="K24" s="275">
        <f t="shared" si="0"/>
        <v>544.0749999999999</v>
      </c>
      <c r="L24" s="496">
        <v>3.5</v>
      </c>
      <c r="M24" s="275">
        <f t="shared" si="1"/>
        <v>544.0749999999999</v>
      </c>
      <c r="N24" s="496">
        <v>3.5</v>
      </c>
      <c r="O24" s="275">
        <f t="shared" si="4"/>
        <v>544.0749999999999</v>
      </c>
    </row>
    <row r="25" spans="1:15" ht="46.5" customHeight="1">
      <c r="A25" s="1082">
        <v>10</v>
      </c>
      <c r="B25" s="756" t="s">
        <v>1766</v>
      </c>
      <c r="C25" s="864"/>
      <c r="D25" s="319"/>
      <c r="E25" s="275"/>
      <c r="F25" s="496">
        <f>17+9</f>
        <v>26</v>
      </c>
      <c r="G25" s="275"/>
      <c r="H25" s="496">
        <f>17+9</f>
        <v>26</v>
      </c>
      <c r="I25" s="275"/>
      <c r="J25" s="496">
        <f>17+9</f>
        <v>26</v>
      </c>
      <c r="K25" s="275"/>
      <c r="L25" s="496">
        <f>17+9</f>
        <v>26</v>
      </c>
      <c r="M25" s="275"/>
      <c r="N25" s="496">
        <f>17+9</f>
        <v>26</v>
      </c>
      <c r="O25" s="275"/>
    </row>
    <row r="26" spans="1:17" ht="18" customHeight="1">
      <c r="A26" s="1084"/>
      <c r="B26" s="502" t="s">
        <v>1758</v>
      </c>
      <c r="C26" s="754">
        <v>7130640008</v>
      </c>
      <c r="D26" s="842" t="s">
        <v>926</v>
      </c>
      <c r="E26" s="275">
        <f>VLOOKUP(C26,'SOR RATE'!A:D,4,0)</f>
        <v>158</v>
      </c>
      <c r="F26" s="496">
        <f>17+(9*2)</f>
        <v>35</v>
      </c>
      <c r="G26" s="275">
        <f>F26*E26</f>
        <v>5530</v>
      </c>
      <c r="H26" s="496">
        <f>17+(9*2)</f>
        <v>35</v>
      </c>
      <c r="I26" s="275">
        <f>H26*E26</f>
        <v>5530</v>
      </c>
      <c r="J26" s="496">
        <f>17+(9*2)</f>
        <v>35</v>
      </c>
      <c r="K26" s="275">
        <f>J26*E26</f>
        <v>5530</v>
      </c>
      <c r="L26" s="496">
        <f>17+(9*2)</f>
        <v>35</v>
      </c>
      <c r="M26" s="275">
        <f>L26*E26</f>
        <v>5530</v>
      </c>
      <c r="N26" s="496">
        <f>17+(9*2)</f>
        <v>35</v>
      </c>
      <c r="O26" s="275">
        <f>N26*E26</f>
        <v>5530</v>
      </c>
      <c r="P26" s="608" t="s">
        <v>1718</v>
      </c>
      <c r="Q26" s="608" t="s">
        <v>1886</v>
      </c>
    </row>
    <row r="27" spans="1:15" ht="14.25">
      <c r="A27" s="1082">
        <v>11</v>
      </c>
      <c r="B27" s="865" t="s">
        <v>1406</v>
      </c>
      <c r="C27" s="754"/>
      <c r="D27" s="862" t="s">
        <v>907</v>
      </c>
      <c r="E27" s="275"/>
      <c r="F27" s="496">
        <v>35</v>
      </c>
      <c r="G27" s="275"/>
      <c r="H27" s="496">
        <v>35</v>
      </c>
      <c r="I27" s="275"/>
      <c r="J27" s="496">
        <v>35</v>
      </c>
      <c r="K27" s="275"/>
      <c r="L27" s="496">
        <v>35</v>
      </c>
      <c r="M27" s="275"/>
      <c r="N27" s="496">
        <v>35</v>
      </c>
      <c r="O27" s="275"/>
    </row>
    <row r="28" spans="1:15" ht="14.25">
      <c r="A28" s="1083"/>
      <c r="B28" s="802" t="s">
        <v>306</v>
      </c>
      <c r="C28" s="754">
        <v>7130620573</v>
      </c>
      <c r="D28" s="862" t="s">
        <v>907</v>
      </c>
      <c r="E28" s="275">
        <f>VLOOKUP(C28,'SOR RATE'!A:D,4,0)</f>
        <v>69.38</v>
      </c>
      <c r="F28" s="496">
        <v>10</v>
      </c>
      <c r="G28" s="275">
        <f aca="true" t="shared" si="5" ref="G28:G34">F28*E28</f>
        <v>693.8</v>
      </c>
      <c r="H28" s="496">
        <v>10</v>
      </c>
      <c r="I28" s="275">
        <f aca="true" t="shared" si="6" ref="I28:I34">H28*E28</f>
        <v>693.8</v>
      </c>
      <c r="J28" s="496">
        <v>10</v>
      </c>
      <c r="K28" s="275">
        <f aca="true" t="shared" si="7" ref="K28:K34">J28*E28</f>
        <v>693.8</v>
      </c>
      <c r="L28" s="496">
        <v>10</v>
      </c>
      <c r="M28" s="275">
        <f aca="true" t="shared" si="8" ref="M28:M34">L28*E28</f>
        <v>693.8</v>
      </c>
      <c r="N28" s="496">
        <v>10</v>
      </c>
      <c r="O28" s="275">
        <f aca="true" t="shared" si="9" ref="O28:O34">N28*E28</f>
        <v>693.8</v>
      </c>
    </row>
    <row r="29" spans="1:15" ht="14.25">
      <c r="A29" s="1083"/>
      <c r="B29" s="802" t="s">
        <v>13</v>
      </c>
      <c r="C29" s="754">
        <v>7130620609</v>
      </c>
      <c r="D29" s="862" t="s">
        <v>907</v>
      </c>
      <c r="E29" s="275">
        <f>VLOOKUP(C29,'SOR RATE'!A:D,4,0)</f>
        <v>69.38</v>
      </c>
      <c r="F29" s="496">
        <v>5</v>
      </c>
      <c r="G29" s="275">
        <f t="shared" si="5"/>
        <v>346.9</v>
      </c>
      <c r="H29" s="496">
        <v>5</v>
      </c>
      <c r="I29" s="275">
        <f t="shared" si="6"/>
        <v>346.9</v>
      </c>
      <c r="J29" s="496">
        <v>5</v>
      </c>
      <c r="K29" s="275">
        <f t="shared" si="7"/>
        <v>346.9</v>
      </c>
      <c r="L29" s="496">
        <v>5</v>
      </c>
      <c r="M29" s="275">
        <f t="shared" si="8"/>
        <v>346.9</v>
      </c>
      <c r="N29" s="496">
        <v>5</v>
      </c>
      <c r="O29" s="275">
        <f t="shared" si="9"/>
        <v>346.9</v>
      </c>
    </row>
    <row r="30" spans="1:15" ht="14.25">
      <c r="A30" s="1084"/>
      <c r="B30" s="802" t="s">
        <v>1228</v>
      </c>
      <c r="C30" s="754">
        <v>7130620625</v>
      </c>
      <c r="D30" s="862" t="s">
        <v>907</v>
      </c>
      <c r="E30" s="275">
        <f>VLOOKUP(C30,'SOR RATE'!A:D,4,0)</f>
        <v>67.06</v>
      </c>
      <c r="F30" s="496">
        <v>20</v>
      </c>
      <c r="G30" s="275">
        <f t="shared" si="5"/>
        <v>1341.2</v>
      </c>
      <c r="H30" s="496">
        <v>20</v>
      </c>
      <c r="I30" s="275">
        <f t="shared" si="6"/>
        <v>1341.2</v>
      </c>
      <c r="J30" s="496">
        <v>20</v>
      </c>
      <c r="K30" s="275">
        <f t="shared" si="7"/>
        <v>1341.2</v>
      </c>
      <c r="L30" s="496">
        <v>20</v>
      </c>
      <c r="M30" s="275">
        <f t="shared" si="8"/>
        <v>1341.2</v>
      </c>
      <c r="N30" s="496">
        <v>20</v>
      </c>
      <c r="O30" s="275">
        <f t="shared" si="9"/>
        <v>1341.2</v>
      </c>
    </row>
    <row r="31" spans="1:15" ht="28.5">
      <c r="A31" s="723">
        <v>12</v>
      </c>
      <c r="B31" s="756" t="s">
        <v>1407</v>
      </c>
      <c r="C31" s="754">
        <v>7130870013</v>
      </c>
      <c r="D31" s="840" t="s">
        <v>19</v>
      </c>
      <c r="E31" s="275">
        <f>VLOOKUP(C31,'SOR RATE'!A:D,4,0)</f>
        <v>114.85</v>
      </c>
      <c r="F31" s="496">
        <v>5</v>
      </c>
      <c r="G31" s="275">
        <f t="shared" si="5"/>
        <v>574.25</v>
      </c>
      <c r="H31" s="496">
        <v>5</v>
      </c>
      <c r="I31" s="275">
        <f t="shared" si="6"/>
        <v>574.25</v>
      </c>
      <c r="J31" s="496">
        <v>5</v>
      </c>
      <c r="K31" s="275">
        <f t="shared" si="7"/>
        <v>574.25</v>
      </c>
      <c r="L31" s="496">
        <v>5</v>
      </c>
      <c r="M31" s="275">
        <f t="shared" si="8"/>
        <v>574.25</v>
      </c>
      <c r="N31" s="496">
        <v>5</v>
      </c>
      <c r="O31" s="275">
        <f t="shared" si="9"/>
        <v>574.25</v>
      </c>
    </row>
    <row r="32" spans="1:15" ht="14.25">
      <c r="A32" s="496">
        <v>13</v>
      </c>
      <c r="B32" s="502" t="s">
        <v>904</v>
      </c>
      <c r="C32" s="754">
        <v>7130211158</v>
      </c>
      <c r="D32" s="862" t="s">
        <v>905</v>
      </c>
      <c r="E32" s="275">
        <f>VLOOKUP(C32,'SOR RATE'!A:D,4,0)</f>
        <v>146.77</v>
      </c>
      <c r="F32" s="496">
        <v>2</v>
      </c>
      <c r="G32" s="275">
        <f t="shared" si="5"/>
        <v>293.54</v>
      </c>
      <c r="H32" s="496">
        <v>2</v>
      </c>
      <c r="I32" s="275">
        <f t="shared" si="6"/>
        <v>293.54</v>
      </c>
      <c r="J32" s="496">
        <v>2</v>
      </c>
      <c r="K32" s="275">
        <f t="shared" si="7"/>
        <v>293.54</v>
      </c>
      <c r="L32" s="496">
        <v>2</v>
      </c>
      <c r="M32" s="275">
        <f t="shared" si="8"/>
        <v>293.54</v>
      </c>
      <c r="N32" s="496">
        <v>2</v>
      </c>
      <c r="O32" s="275">
        <f t="shared" si="9"/>
        <v>293.54</v>
      </c>
    </row>
    <row r="33" spans="1:15" ht="14.25">
      <c r="A33" s="496">
        <v>14</v>
      </c>
      <c r="B33" s="502" t="s">
        <v>906</v>
      </c>
      <c r="C33" s="754">
        <v>7130210809</v>
      </c>
      <c r="D33" s="862" t="s">
        <v>905</v>
      </c>
      <c r="E33" s="275">
        <f>VLOOKUP(C33,'SOR RATE'!A:D,4,0)</f>
        <v>327.94</v>
      </c>
      <c r="F33" s="496">
        <v>2</v>
      </c>
      <c r="G33" s="275">
        <f t="shared" si="5"/>
        <v>655.88</v>
      </c>
      <c r="H33" s="496">
        <v>2</v>
      </c>
      <c r="I33" s="275">
        <f t="shared" si="6"/>
        <v>655.88</v>
      </c>
      <c r="J33" s="496">
        <v>2</v>
      </c>
      <c r="K33" s="275">
        <f t="shared" si="7"/>
        <v>655.88</v>
      </c>
      <c r="L33" s="496">
        <v>2</v>
      </c>
      <c r="M33" s="275">
        <f t="shared" si="8"/>
        <v>655.88</v>
      </c>
      <c r="N33" s="496">
        <v>2</v>
      </c>
      <c r="O33" s="275">
        <f t="shared" si="9"/>
        <v>655.88</v>
      </c>
    </row>
    <row r="34" spans="1:15" ht="14.25">
      <c r="A34" s="496">
        <v>15</v>
      </c>
      <c r="B34" s="502" t="s">
        <v>1408</v>
      </c>
      <c r="C34" s="754">
        <v>7130870043</v>
      </c>
      <c r="D34" s="862" t="s">
        <v>907</v>
      </c>
      <c r="E34" s="275">
        <f>VLOOKUP(C34,'SOR RATE'!A:D,4,0)/1000</f>
        <v>62.99996</v>
      </c>
      <c r="F34" s="496">
        <v>6</v>
      </c>
      <c r="G34" s="275">
        <f t="shared" si="5"/>
        <v>377.99976000000004</v>
      </c>
      <c r="H34" s="496">
        <v>6</v>
      </c>
      <c r="I34" s="275">
        <f t="shared" si="6"/>
        <v>377.99976000000004</v>
      </c>
      <c r="J34" s="496">
        <v>6</v>
      </c>
      <c r="K34" s="275">
        <f t="shared" si="7"/>
        <v>377.99976000000004</v>
      </c>
      <c r="L34" s="496">
        <v>6</v>
      </c>
      <c r="M34" s="275">
        <f t="shared" si="8"/>
        <v>377.99976000000004</v>
      </c>
      <c r="N34" s="496">
        <v>6</v>
      </c>
      <c r="O34" s="275">
        <f t="shared" si="9"/>
        <v>377.99976000000004</v>
      </c>
    </row>
    <row r="35" spans="1:17" ht="15">
      <c r="A35" s="525">
        <v>16</v>
      </c>
      <c r="B35" s="277" t="s">
        <v>566</v>
      </c>
      <c r="C35" s="754"/>
      <c r="D35" s="862"/>
      <c r="E35" s="496"/>
      <c r="F35" s="496"/>
      <c r="G35" s="278">
        <f>SUM(G10:G34)</f>
        <v>234425.57392000002</v>
      </c>
      <c r="H35" s="278"/>
      <c r="I35" s="278">
        <f>SUM(I10:I34)</f>
        <v>213946.82552000004</v>
      </c>
      <c r="J35" s="278"/>
      <c r="K35" s="278">
        <f>SUM(K10:K34)</f>
        <v>179448.49992000003</v>
      </c>
      <c r="L35" s="278"/>
      <c r="M35" s="278">
        <f>SUM(M10:M34)</f>
        <v>172714.02002000005</v>
      </c>
      <c r="N35" s="278"/>
      <c r="O35" s="278">
        <f>SUM(O10:O34)</f>
        <v>152510.58032000004</v>
      </c>
      <c r="P35" s="53"/>
      <c r="Q35" s="50"/>
    </row>
    <row r="36" spans="1:17" ht="17.25" customHeight="1">
      <c r="A36" s="723">
        <v>17</v>
      </c>
      <c r="B36" s="61" t="s">
        <v>565</v>
      </c>
      <c r="C36" s="765"/>
      <c r="D36" s="766"/>
      <c r="E36" s="754">
        <v>0.09</v>
      </c>
      <c r="F36" s="838"/>
      <c r="G36" s="275">
        <f>G35*E36</f>
        <v>21098.3016528</v>
      </c>
      <c r="H36" s="275"/>
      <c r="I36" s="275">
        <f>I35*E36</f>
        <v>19255.214296800004</v>
      </c>
      <c r="J36" s="275"/>
      <c r="K36" s="275">
        <f>K35*E36</f>
        <v>16150.364992800001</v>
      </c>
      <c r="L36" s="275"/>
      <c r="M36" s="275">
        <f>M35*E36</f>
        <v>15544.261801800005</v>
      </c>
      <c r="N36" s="275"/>
      <c r="O36" s="275">
        <f>O35*E36</f>
        <v>13725.952228800003</v>
      </c>
      <c r="P36" s="53"/>
      <c r="Q36" s="51"/>
    </row>
    <row r="37" spans="1:16" ht="33" customHeight="1">
      <c r="A37" s="554">
        <v>18</v>
      </c>
      <c r="B37" s="274" t="s">
        <v>1409</v>
      </c>
      <c r="C37" s="62"/>
      <c r="D37" s="840" t="s">
        <v>19</v>
      </c>
      <c r="E37" s="571">
        <f>97*1.11*1.086275*1.1112*1.0685*1.06217*1.059*1.2778</f>
        <v>199.5970562453939</v>
      </c>
      <c r="F37" s="554">
        <v>17</v>
      </c>
      <c r="G37" s="571">
        <f>F37*E37</f>
        <v>3393.1499561716964</v>
      </c>
      <c r="H37" s="554">
        <v>17</v>
      </c>
      <c r="I37" s="571">
        <f>H37*E37</f>
        <v>3393.1499561716964</v>
      </c>
      <c r="J37" s="554">
        <v>17</v>
      </c>
      <c r="K37" s="571">
        <f>J37*E37</f>
        <v>3393.1499561716964</v>
      </c>
      <c r="L37" s="554">
        <v>17</v>
      </c>
      <c r="M37" s="571">
        <f>L37*E37</f>
        <v>3393.1499561716964</v>
      </c>
      <c r="N37" s="554">
        <v>17</v>
      </c>
      <c r="O37" s="571">
        <f>N37*E37</f>
        <v>3393.1499561716964</v>
      </c>
      <c r="P37" s="284"/>
    </row>
    <row r="38" spans="1:16" ht="18">
      <c r="A38" s="554">
        <v>19</v>
      </c>
      <c r="B38" s="274" t="s">
        <v>1410</v>
      </c>
      <c r="C38" s="62"/>
      <c r="D38" s="840"/>
      <c r="E38" s="571"/>
      <c r="F38" s="554"/>
      <c r="G38" s="571">
        <v>54431.97</v>
      </c>
      <c r="H38" s="554"/>
      <c r="I38" s="571">
        <f>+G38</f>
        <v>54431.97</v>
      </c>
      <c r="J38" s="554"/>
      <c r="K38" s="571">
        <f>+I38</f>
        <v>54431.97</v>
      </c>
      <c r="L38" s="554"/>
      <c r="M38" s="571">
        <f>+K38</f>
        <v>54431.97</v>
      </c>
      <c r="N38" s="554"/>
      <c r="O38" s="571">
        <f>+M38</f>
        <v>54431.97</v>
      </c>
      <c r="P38" s="271"/>
    </row>
    <row r="39" spans="1:17" ht="61.5" customHeight="1">
      <c r="A39" s="554">
        <v>20</v>
      </c>
      <c r="B39" s="274" t="s">
        <v>1353</v>
      </c>
      <c r="C39" s="62"/>
      <c r="D39" s="554"/>
      <c r="E39" s="571"/>
      <c r="F39" s="554"/>
      <c r="G39" s="275">
        <f>(10530.28*1.88%)+10530.28</f>
        <v>10728.249264</v>
      </c>
      <c r="H39" s="554"/>
      <c r="I39" s="275">
        <f>(10530.28*1.88%)+10530.28</f>
        <v>10728.249264</v>
      </c>
      <c r="J39" s="554"/>
      <c r="K39" s="275">
        <f>(10530.28*1.88%)+10530.28</f>
        <v>10728.249264</v>
      </c>
      <c r="L39" s="554"/>
      <c r="M39" s="275">
        <f>(10530.28*1.88%)+10530.28</f>
        <v>10728.249264</v>
      </c>
      <c r="N39" s="554"/>
      <c r="O39" s="275">
        <f>(10530.28*1.88%)+10530.28</f>
        <v>10728.249264</v>
      </c>
      <c r="P39" s="611"/>
      <c r="Q39" s="295"/>
    </row>
    <row r="40" spans="1:16" ht="17.25" customHeight="1">
      <c r="A40" s="526">
        <v>21</v>
      </c>
      <c r="B40" s="277" t="s">
        <v>567</v>
      </c>
      <c r="C40" s="62"/>
      <c r="D40" s="840"/>
      <c r="E40" s="571"/>
      <c r="F40" s="554"/>
      <c r="G40" s="543">
        <f>G35+G36+G37+G38+G39</f>
        <v>324077.2447929717</v>
      </c>
      <c r="H40" s="526"/>
      <c r="I40" s="543">
        <f>I35+I36+I37+I38+I39</f>
        <v>301755.40903697175</v>
      </c>
      <c r="J40" s="526"/>
      <c r="K40" s="543">
        <f>K35+K36+K37+K38+K39</f>
        <v>264152.23413297173</v>
      </c>
      <c r="L40" s="526"/>
      <c r="M40" s="543">
        <f>M35+M36+M37+M38+M39</f>
        <v>256811.65104197175</v>
      </c>
      <c r="N40" s="526"/>
      <c r="O40" s="543">
        <f>O35+O36+O37+O38+O39</f>
        <v>234789.90176897176</v>
      </c>
      <c r="P40" s="55"/>
    </row>
    <row r="41" spans="1:16" ht="47.25" customHeight="1">
      <c r="A41" s="554">
        <v>22</v>
      </c>
      <c r="B41" s="61" t="s">
        <v>1747</v>
      </c>
      <c r="C41" s="62"/>
      <c r="D41" s="840"/>
      <c r="E41" s="803">
        <v>0.125</v>
      </c>
      <c r="F41" s="554"/>
      <c r="G41" s="571">
        <f>G35*E41</f>
        <v>29303.196740000003</v>
      </c>
      <c r="H41" s="554"/>
      <c r="I41" s="571">
        <f>I35*E41</f>
        <v>26743.353190000005</v>
      </c>
      <c r="J41" s="554"/>
      <c r="K41" s="571">
        <f>K35*E41</f>
        <v>22431.062490000004</v>
      </c>
      <c r="L41" s="554"/>
      <c r="M41" s="571">
        <f>M35*E41</f>
        <v>21589.252502500007</v>
      </c>
      <c r="N41" s="554"/>
      <c r="O41" s="571">
        <f>O35*E41</f>
        <v>19063.822540000005</v>
      </c>
      <c r="P41" s="120"/>
    </row>
    <row r="42" spans="1:16" ht="28.5">
      <c r="A42" s="554">
        <v>23</v>
      </c>
      <c r="B42" s="274" t="s">
        <v>1411</v>
      </c>
      <c r="C42" s="62"/>
      <c r="D42" s="840"/>
      <c r="E42" s="571"/>
      <c r="F42" s="554"/>
      <c r="G42" s="571">
        <f>G40+G41</f>
        <v>353380.4415329717</v>
      </c>
      <c r="H42" s="571"/>
      <c r="I42" s="571">
        <f>I40+I41</f>
        <v>328498.76222697174</v>
      </c>
      <c r="J42" s="571"/>
      <c r="K42" s="571">
        <f>K40+K41</f>
        <v>286583.2966229717</v>
      </c>
      <c r="L42" s="571"/>
      <c r="M42" s="571">
        <f>M40+M41</f>
        <v>278400.9035444718</v>
      </c>
      <c r="N42" s="571"/>
      <c r="O42" s="571">
        <f>O40+O41</f>
        <v>253853.72430897175</v>
      </c>
      <c r="P42" s="72"/>
    </row>
    <row r="43" spans="1:15" ht="33" customHeight="1">
      <c r="A43" s="526">
        <v>24</v>
      </c>
      <c r="B43" s="280" t="s">
        <v>1412</v>
      </c>
      <c r="C43" s="62"/>
      <c r="D43" s="840"/>
      <c r="E43" s="571"/>
      <c r="F43" s="554"/>
      <c r="G43" s="543">
        <f>ROUND(G42,0)</f>
        <v>353380</v>
      </c>
      <c r="H43" s="526"/>
      <c r="I43" s="543">
        <f>ROUND(I42,0)</f>
        <v>328499</v>
      </c>
      <c r="J43" s="526"/>
      <c r="K43" s="543">
        <f>ROUND(K42,0)</f>
        <v>286583</v>
      </c>
      <c r="L43" s="526"/>
      <c r="M43" s="543">
        <f>ROUND(M42,0)</f>
        <v>278401</v>
      </c>
      <c r="N43" s="526"/>
      <c r="O43" s="543">
        <f>ROUND(O42,0)</f>
        <v>253854</v>
      </c>
    </row>
    <row r="44" spans="1:15" ht="15">
      <c r="A44" s="557"/>
      <c r="B44" s="9"/>
      <c r="C44" s="335"/>
      <c r="D44" s="134"/>
      <c r="E44" s="31"/>
      <c r="F44" s="134"/>
      <c r="G44" s="336"/>
      <c r="H44" s="557"/>
      <c r="I44" s="336"/>
      <c r="J44" s="557"/>
      <c r="K44" s="336"/>
      <c r="L44" s="557"/>
      <c r="M44" s="336"/>
      <c r="N44" s="557"/>
      <c r="O44" s="336"/>
    </row>
    <row r="45" spans="1:15" ht="14.25">
      <c r="A45" s="536"/>
      <c r="B45" s="1109" t="s">
        <v>1413</v>
      </c>
      <c r="C45" s="1109"/>
      <c r="D45" s="1109"/>
      <c r="E45" s="296"/>
      <c r="F45" s="296"/>
      <c r="G45" s="302"/>
      <c r="H45" s="21"/>
      <c r="I45" s="21"/>
      <c r="J45" s="21"/>
      <c r="K45" s="21"/>
      <c r="L45" s="21"/>
      <c r="M45" s="21"/>
      <c r="N45" s="21"/>
      <c r="O45" s="21"/>
    </row>
    <row r="46" spans="1:15" ht="15.75" customHeight="1">
      <c r="A46" s="556" t="s">
        <v>982</v>
      </c>
      <c r="B46" s="481" t="s">
        <v>1749</v>
      </c>
      <c r="C46" s="7"/>
      <c r="H46" s="337"/>
      <c r="I46" s="337"/>
      <c r="J46" s="337"/>
      <c r="K46" s="337"/>
      <c r="L46" s="337"/>
      <c r="M46" s="337"/>
      <c r="N46" s="337"/>
      <c r="O46" s="337"/>
    </row>
    <row r="47" spans="1:15" ht="15.75">
      <c r="A47" s="338"/>
      <c r="B47" s="339"/>
      <c r="C47" s="340"/>
      <c r="D47" s="339"/>
      <c r="E47" s="339"/>
      <c r="F47" s="339"/>
      <c r="G47" s="339"/>
      <c r="I47" s="330"/>
      <c r="J47" s="339"/>
      <c r="K47" s="339"/>
      <c r="L47" s="339"/>
      <c r="M47" s="339"/>
      <c r="N47" s="339"/>
      <c r="O47" s="339"/>
    </row>
    <row r="48" spans="1:15" ht="15.75">
      <c r="A48" s="338"/>
      <c r="B48" s="339"/>
      <c r="C48" s="340"/>
      <c r="D48" s="339"/>
      <c r="E48" s="339"/>
      <c r="F48" s="339"/>
      <c r="G48" s="339"/>
      <c r="H48" s="330"/>
      <c r="I48" s="330"/>
      <c r="J48" s="339"/>
      <c r="K48" s="339"/>
      <c r="L48" s="339"/>
      <c r="M48" s="339"/>
      <c r="N48" s="339"/>
      <c r="O48" s="339"/>
    </row>
    <row r="49" spans="1:15" ht="15.75">
      <c r="A49" s="338"/>
      <c r="B49" s="339"/>
      <c r="C49" s="340"/>
      <c r="D49" s="339"/>
      <c r="E49" s="339"/>
      <c r="F49" s="339"/>
      <c r="G49" s="339"/>
      <c r="H49" s="330"/>
      <c r="I49" s="330"/>
      <c r="J49" s="339"/>
      <c r="K49" s="339"/>
      <c r="L49" s="339"/>
      <c r="M49" s="339"/>
      <c r="N49" s="339"/>
      <c r="O49" s="339"/>
    </row>
    <row r="50" spans="1:15" ht="15.75">
      <c r="A50" s="338"/>
      <c r="B50" s="339"/>
      <c r="C50" s="340"/>
      <c r="D50" s="339"/>
      <c r="E50" s="339"/>
      <c r="F50" s="339"/>
      <c r="G50" s="339"/>
      <c r="H50" s="330"/>
      <c r="I50" s="330"/>
      <c r="J50" s="339"/>
      <c r="K50" s="339"/>
      <c r="L50" s="339"/>
      <c r="M50" s="339"/>
      <c r="N50" s="339"/>
      <c r="O50" s="339"/>
    </row>
    <row r="51" spans="1:15" ht="15.75">
      <c r="A51" s="338"/>
      <c r="B51" s="339"/>
      <c r="C51" s="340"/>
      <c r="D51" s="339"/>
      <c r="E51" s="339"/>
      <c r="F51" s="339"/>
      <c r="G51" s="339"/>
      <c r="H51" s="330"/>
      <c r="I51" s="330"/>
      <c r="J51" s="339"/>
      <c r="K51" s="339"/>
      <c r="L51" s="339"/>
      <c r="M51" s="339"/>
      <c r="N51" s="339"/>
      <c r="O51" s="339"/>
    </row>
    <row r="52" spans="1:15" ht="15.75">
      <c r="A52" s="338"/>
      <c r="B52" s="339"/>
      <c r="C52" s="340"/>
      <c r="D52" s="339"/>
      <c r="E52" s="339"/>
      <c r="F52" s="339"/>
      <c r="G52" s="339"/>
      <c r="H52" s="339"/>
      <c r="I52" s="339"/>
      <c r="J52" s="339"/>
      <c r="K52" s="339"/>
      <c r="L52" s="339"/>
      <c r="M52" s="339"/>
      <c r="N52" s="339"/>
      <c r="O52" s="339"/>
    </row>
    <row r="53" spans="1:15" ht="15.75">
      <c r="A53" s="338"/>
      <c r="B53" s="339"/>
      <c r="C53" s="340"/>
      <c r="D53" s="339"/>
      <c r="E53" s="339"/>
      <c r="F53" s="339"/>
      <c r="G53" s="339"/>
      <c r="H53" s="339"/>
      <c r="I53" s="339"/>
      <c r="J53" s="339"/>
      <c r="K53" s="339"/>
      <c r="L53" s="339"/>
      <c r="M53" s="339"/>
      <c r="N53" s="339"/>
      <c r="O53" s="339"/>
    </row>
    <row r="54" spans="1:15" ht="15.75">
      <c r="A54" s="338"/>
      <c r="B54" s="339"/>
      <c r="C54" s="340"/>
      <c r="D54" s="339"/>
      <c r="E54" s="339"/>
      <c r="F54" s="339"/>
      <c r="G54" s="339"/>
      <c r="H54" s="339"/>
      <c r="I54" s="339"/>
      <c r="J54" s="339"/>
      <c r="K54" s="339"/>
      <c r="L54" s="339"/>
      <c r="M54" s="339"/>
      <c r="N54" s="339"/>
      <c r="O54" s="339"/>
    </row>
    <row r="55" spans="1:15" ht="15.75">
      <c r="A55" s="338"/>
      <c r="B55" s="341"/>
      <c r="C55" s="342"/>
      <c r="D55" s="343"/>
      <c r="E55" s="344"/>
      <c r="F55" s="339"/>
      <c r="G55" s="339"/>
      <c r="H55" s="339"/>
      <c r="I55" s="339"/>
      <c r="J55" s="339"/>
      <c r="K55" s="339"/>
      <c r="L55" s="339"/>
      <c r="M55" s="339"/>
      <c r="N55" s="339"/>
      <c r="O55" s="339"/>
    </row>
    <row r="56" spans="1:15" ht="15.75">
      <c r="A56" s="338"/>
      <c r="B56" s="341"/>
      <c r="C56" s="342"/>
      <c r="D56" s="343"/>
      <c r="E56" s="344"/>
      <c r="F56" s="339"/>
      <c r="G56" s="339"/>
      <c r="H56" s="339"/>
      <c r="I56" s="339"/>
      <c r="J56" s="339"/>
      <c r="K56" s="339"/>
      <c r="L56" s="339"/>
      <c r="M56" s="339"/>
      <c r="N56" s="339"/>
      <c r="O56" s="339"/>
    </row>
    <row r="57" spans="1:15" ht="15.75">
      <c r="A57" s="338"/>
      <c r="B57" s="339"/>
      <c r="C57" s="340"/>
      <c r="D57" s="339"/>
      <c r="E57" s="339"/>
      <c r="F57" s="339"/>
      <c r="G57" s="339"/>
      <c r="H57" s="339"/>
      <c r="I57" s="339"/>
      <c r="J57" s="339"/>
      <c r="K57" s="339"/>
      <c r="L57" s="339"/>
      <c r="M57" s="339"/>
      <c r="N57" s="339"/>
      <c r="O57" s="339"/>
    </row>
    <row r="58" spans="1:15" ht="15.75">
      <c r="A58" s="338"/>
      <c r="B58" s="339"/>
      <c r="C58" s="340"/>
      <c r="D58" s="339"/>
      <c r="E58" s="339"/>
      <c r="F58" s="339"/>
      <c r="G58" s="339"/>
      <c r="H58" s="339"/>
      <c r="I58" s="339"/>
      <c r="J58" s="339"/>
      <c r="K58" s="339"/>
      <c r="L58" s="339"/>
      <c r="M58" s="339"/>
      <c r="N58" s="339"/>
      <c r="O58" s="339"/>
    </row>
    <row r="59" spans="1:15" ht="15.75">
      <c r="A59" s="338"/>
      <c r="B59" s="339"/>
      <c r="C59" s="340"/>
      <c r="D59" s="339"/>
      <c r="E59" s="339"/>
      <c r="F59" s="339"/>
      <c r="G59" s="339"/>
      <c r="H59" s="339"/>
      <c r="I59" s="339"/>
      <c r="J59" s="339"/>
      <c r="K59" s="339"/>
      <c r="L59" s="339"/>
      <c r="M59" s="339"/>
      <c r="N59" s="339"/>
      <c r="O59" s="339"/>
    </row>
    <row r="60" spans="1:15" ht="15.75">
      <c r="A60" s="338"/>
      <c r="B60" s="339"/>
      <c r="C60" s="340"/>
      <c r="D60" s="339"/>
      <c r="E60" s="339"/>
      <c r="F60" s="339"/>
      <c r="G60" s="339"/>
      <c r="H60" s="339"/>
      <c r="I60" s="339"/>
      <c r="J60" s="339"/>
      <c r="K60" s="339"/>
      <c r="L60" s="339"/>
      <c r="M60" s="339"/>
      <c r="N60" s="339"/>
      <c r="O60" s="339"/>
    </row>
    <row r="61" spans="1:15" ht="15.75">
      <c r="A61" s="338"/>
      <c r="B61" s="339"/>
      <c r="C61" s="340"/>
      <c r="D61" s="339"/>
      <c r="E61" s="339"/>
      <c r="F61" s="339"/>
      <c r="G61" s="339"/>
      <c r="H61" s="339"/>
      <c r="I61" s="339"/>
      <c r="J61" s="339"/>
      <c r="K61" s="339"/>
      <c r="L61" s="339"/>
      <c r="M61" s="339"/>
      <c r="N61" s="339"/>
      <c r="O61" s="339"/>
    </row>
    <row r="62" spans="1:15" ht="15.75">
      <c r="A62" s="338"/>
      <c r="B62" s="339"/>
      <c r="C62" s="340"/>
      <c r="D62" s="339"/>
      <c r="E62" s="339"/>
      <c r="F62" s="339"/>
      <c r="G62" s="339"/>
      <c r="H62" s="339"/>
      <c r="I62" s="339"/>
      <c r="J62" s="339"/>
      <c r="K62" s="339"/>
      <c r="L62" s="339"/>
      <c r="M62" s="339"/>
      <c r="N62" s="339"/>
      <c r="O62" s="339"/>
    </row>
    <row r="63" spans="1:15" ht="15.75">
      <c r="A63" s="338"/>
      <c r="B63" s="339"/>
      <c r="C63" s="340"/>
      <c r="D63" s="339"/>
      <c r="E63" s="339"/>
      <c r="F63" s="339"/>
      <c r="G63" s="339"/>
      <c r="H63" s="339"/>
      <c r="I63" s="339"/>
      <c r="J63" s="339"/>
      <c r="K63" s="339"/>
      <c r="L63" s="339"/>
      <c r="M63" s="339"/>
      <c r="N63" s="339"/>
      <c r="O63" s="339"/>
    </row>
    <row r="64" spans="1:15" ht="15.75">
      <c r="A64" s="338"/>
      <c r="B64" s="339"/>
      <c r="C64" s="340"/>
      <c r="D64" s="339"/>
      <c r="E64" s="339"/>
      <c r="F64" s="339"/>
      <c r="G64" s="339"/>
      <c r="H64" s="339"/>
      <c r="I64" s="339"/>
      <c r="J64" s="339"/>
      <c r="K64" s="339"/>
      <c r="L64" s="339"/>
      <c r="M64" s="339"/>
      <c r="N64" s="339"/>
      <c r="O64" s="339"/>
    </row>
    <row r="65" spans="1:15" ht="15.75">
      <c r="A65" s="338"/>
      <c r="B65" s="339"/>
      <c r="C65" s="340"/>
      <c r="D65" s="339"/>
      <c r="E65" s="339"/>
      <c r="F65" s="339"/>
      <c r="G65" s="339"/>
      <c r="H65" s="339"/>
      <c r="I65" s="339"/>
      <c r="J65" s="339"/>
      <c r="K65" s="339"/>
      <c r="L65" s="339"/>
      <c r="M65" s="339"/>
      <c r="N65" s="339"/>
      <c r="O65" s="339"/>
    </row>
    <row r="66" spans="1:15" ht="15.75">
      <c r="A66" s="338"/>
      <c r="B66" s="339"/>
      <c r="C66" s="340"/>
      <c r="D66" s="339"/>
      <c r="E66" s="339"/>
      <c r="F66" s="339"/>
      <c r="G66" s="339"/>
      <c r="H66" s="339"/>
      <c r="I66" s="339"/>
      <c r="J66" s="339"/>
      <c r="K66" s="339"/>
      <c r="L66" s="339"/>
      <c r="M66" s="339"/>
      <c r="N66" s="339"/>
      <c r="O66" s="339"/>
    </row>
  </sheetData>
  <sheetProtection/>
  <mergeCells count="17">
    <mergeCell ref="E1:I1"/>
    <mergeCell ref="B3:K3"/>
    <mergeCell ref="A7:A8"/>
    <mergeCell ref="B7:B8"/>
    <mergeCell ref="C7:C8"/>
    <mergeCell ref="D7:D8"/>
    <mergeCell ref="E7:E8"/>
    <mergeCell ref="F7:G7"/>
    <mergeCell ref="H7:I7"/>
    <mergeCell ref="J7:K7"/>
    <mergeCell ref="B45:D45"/>
    <mergeCell ref="L7:M7"/>
    <mergeCell ref="N7:O7"/>
    <mergeCell ref="A15:A18"/>
    <mergeCell ref="A19:A22"/>
    <mergeCell ref="A25:A26"/>
    <mergeCell ref="A27:A30"/>
  </mergeCells>
  <conditionalFormatting sqref="B35:B36">
    <cfRule type="cellIs" priority="1" dxfId="0" operator="equal" stopIfTrue="1">
      <formula>"?"</formula>
    </cfRule>
  </conditionalFormatting>
  <printOptions gridLines="1" horizontalCentered="1"/>
  <pageMargins left="0.44" right="0" top="0.95" bottom="0.43" header="0" footer="0.18"/>
  <pageSetup fitToHeight="2" horizontalDpi="600" verticalDpi="600" orientation="landscape" paperSize="9" scale="85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08"/>
  <sheetViews>
    <sheetView zoomScalePageLayoutView="0" workbookViewId="0" topLeftCell="A1">
      <pane xSplit="2" ySplit="9" topLeftCell="E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L39" sqref="L39"/>
    </sheetView>
  </sheetViews>
  <sheetFormatPr defaultColWidth="9.140625" defaultRowHeight="12.75"/>
  <cols>
    <col min="1" max="1" width="5.421875" style="82" customWidth="1"/>
    <col min="2" max="2" width="41.57421875" style="12" customWidth="1"/>
    <col min="3" max="3" width="14.421875" style="88" customWidth="1"/>
    <col min="4" max="4" width="6.57421875" style="12" bestFit="1" customWidth="1"/>
    <col min="5" max="5" width="10.28125" style="12" bestFit="1" customWidth="1"/>
    <col min="6" max="6" width="7.8515625" style="12" bestFit="1" customWidth="1"/>
    <col min="7" max="7" width="13.8515625" style="12" bestFit="1" customWidth="1"/>
    <col min="8" max="8" width="9.8515625" style="12" customWidth="1"/>
    <col min="9" max="9" width="13.8515625" style="12" bestFit="1" customWidth="1"/>
    <col min="10" max="10" width="11.28125" style="12" bestFit="1" customWidth="1"/>
    <col min="11" max="11" width="13.8515625" style="12" bestFit="1" customWidth="1"/>
    <col min="12" max="12" width="21.00390625" style="12" customWidth="1"/>
    <col min="13" max="13" width="20.7109375" style="12" bestFit="1" customWidth="1"/>
    <col min="14" max="16384" width="9.140625" style="12" customWidth="1"/>
  </cols>
  <sheetData>
    <row r="1" spans="2:11" ht="18">
      <c r="B1" s="30"/>
      <c r="C1" s="30"/>
      <c r="D1" s="1066" t="s">
        <v>1414</v>
      </c>
      <c r="E1" s="1066"/>
      <c r="F1" s="1066"/>
      <c r="G1" s="1066"/>
      <c r="H1" s="1066"/>
      <c r="I1" s="30"/>
      <c r="J1" s="30"/>
      <c r="K1" s="30"/>
    </row>
    <row r="2" ht="8.25" customHeight="1"/>
    <row r="3" spans="2:11" ht="36.75" customHeight="1">
      <c r="B3" s="1068" t="s">
        <v>1415</v>
      </c>
      <c r="C3" s="1068"/>
      <c r="D3" s="1068"/>
      <c r="E3" s="1068"/>
      <c r="F3" s="1068"/>
      <c r="G3" s="1068"/>
      <c r="H3" s="1068"/>
      <c r="I3" s="1068"/>
      <c r="J3" s="69"/>
      <c r="K3" s="69"/>
    </row>
    <row r="4" spans="1:11" ht="9.75" customHeight="1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</row>
    <row r="5" spans="1:11" ht="15.75">
      <c r="A5" s="346"/>
      <c r="B5" s="86"/>
      <c r="C5" s="87"/>
      <c r="D5" s="86"/>
      <c r="E5" s="86"/>
      <c r="F5" s="86"/>
      <c r="G5" s="86"/>
      <c r="H5" s="86"/>
      <c r="I5" s="86"/>
      <c r="J5" s="86"/>
      <c r="K5" s="537" t="s">
        <v>1823</v>
      </c>
    </row>
    <row r="6" spans="1:11" ht="8.25" customHeight="1">
      <c r="A6" s="346"/>
      <c r="B6" s="86"/>
      <c r="C6" s="87"/>
      <c r="D6" s="86"/>
      <c r="E6" s="86"/>
      <c r="F6" s="86"/>
      <c r="G6" s="86"/>
      <c r="H6" s="86"/>
      <c r="I6" s="86"/>
      <c r="J6" s="86"/>
      <c r="K6" s="17"/>
    </row>
    <row r="7" spans="1:11" ht="62.25" customHeight="1">
      <c r="A7" s="1067" t="s">
        <v>1416</v>
      </c>
      <c r="B7" s="1067" t="s">
        <v>16</v>
      </c>
      <c r="C7" s="1063" t="s">
        <v>1389</v>
      </c>
      <c r="D7" s="1067" t="s">
        <v>17</v>
      </c>
      <c r="E7" s="1067" t="s">
        <v>746</v>
      </c>
      <c r="F7" s="1067" t="s">
        <v>1390</v>
      </c>
      <c r="G7" s="1067"/>
      <c r="H7" s="1067" t="s">
        <v>1392</v>
      </c>
      <c r="I7" s="1067"/>
      <c r="J7" s="1067" t="s">
        <v>1417</v>
      </c>
      <c r="K7" s="1067"/>
    </row>
    <row r="8" spans="1:11" ht="15.75">
      <c r="A8" s="1067"/>
      <c r="B8" s="1067"/>
      <c r="C8" s="1063"/>
      <c r="D8" s="1067"/>
      <c r="E8" s="1067"/>
      <c r="F8" s="547" t="s">
        <v>18</v>
      </c>
      <c r="G8" s="547" t="s">
        <v>1176</v>
      </c>
      <c r="H8" s="547" t="s">
        <v>18</v>
      </c>
      <c r="I8" s="547" t="s">
        <v>1176</v>
      </c>
      <c r="J8" s="547" t="s">
        <v>18</v>
      </c>
      <c r="K8" s="547" t="s">
        <v>1176</v>
      </c>
    </row>
    <row r="9" spans="1:11" ht="15.75">
      <c r="A9" s="306" t="s">
        <v>910</v>
      </c>
      <c r="B9" s="306" t="s">
        <v>911</v>
      </c>
      <c r="C9" s="306" t="s">
        <v>912</v>
      </c>
      <c r="D9" s="306" t="s">
        <v>1368</v>
      </c>
      <c r="E9" s="306" t="s">
        <v>1369</v>
      </c>
      <c r="F9" s="306" t="s">
        <v>913</v>
      </c>
      <c r="G9" s="306" t="s">
        <v>1418</v>
      </c>
      <c r="H9" s="306" t="s">
        <v>1419</v>
      </c>
      <c r="I9" s="306" t="s">
        <v>1370</v>
      </c>
      <c r="J9" s="306" t="s">
        <v>1371</v>
      </c>
      <c r="K9" s="306" t="s">
        <v>1372</v>
      </c>
    </row>
    <row r="10" spans="1:11" ht="15">
      <c r="A10" s="711">
        <v>1</v>
      </c>
      <c r="B10" s="843" t="s">
        <v>1420</v>
      </c>
      <c r="C10" s="819">
        <v>7130800012</v>
      </c>
      <c r="D10" s="711" t="s">
        <v>19</v>
      </c>
      <c r="E10" s="816">
        <f>VLOOKUP(C10,'SOR RATE'!A:D,4,0)</f>
        <v>2255.2</v>
      </c>
      <c r="F10" s="711">
        <v>17</v>
      </c>
      <c r="G10" s="816">
        <f>F10*E10</f>
        <v>38338.399999999994</v>
      </c>
      <c r="H10" s="711">
        <v>17</v>
      </c>
      <c r="I10" s="816">
        <f>H10*E10</f>
        <v>38338.399999999994</v>
      </c>
      <c r="J10" s="711">
        <v>17</v>
      </c>
      <c r="K10" s="816">
        <f>J10*E10</f>
        <v>38338.399999999994</v>
      </c>
    </row>
    <row r="11" spans="1:11" ht="15">
      <c r="A11" s="711">
        <v>2</v>
      </c>
      <c r="B11" s="843" t="s">
        <v>1421</v>
      </c>
      <c r="C11" s="819">
        <v>7130810441</v>
      </c>
      <c r="D11" s="711" t="s">
        <v>19</v>
      </c>
      <c r="E11" s="816">
        <f>VLOOKUP(C11,'SOR RATE'!A:D,4,0)</f>
        <v>742.99</v>
      </c>
      <c r="F11" s="711">
        <v>22</v>
      </c>
      <c r="G11" s="816">
        <f>F11*E11</f>
        <v>16345.78</v>
      </c>
      <c r="H11" s="711">
        <v>22</v>
      </c>
      <c r="I11" s="816">
        <f>H11*E11</f>
        <v>16345.78</v>
      </c>
      <c r="J11" s="711">
        <v>22</v>
      </c>
      <c r="K11" s="816">
        <f>J11*E11</f>
        <v>16345.78</v>
      </c>
    </row>
    <row r="12" spans="1:11" ht="15">
      <c r="A12" s="711">
        <v>3</v>
      </c>
      <c r="B12" s="843" t="s">
        <v>1422</v>
      </c>
      <c r="C12" s="819">
        <v>7130820106</v>
      </c>
      <c r="D12" s="711" t="s">
        <v>19</v>
      </c>
      <c r="E12" s="816">
        <f>VLOOKUP(C12,'SOR RATE'!A:D,4,0)</f>
        <v>12.82</v>
      </c>
      <c r="F12" s="711">
        <v>66</v>
      </c>
      <c r="G12" s="816">
        <f>F12*E12</f>
        <v>846.12</v>
      </c>
      <c r="H12" s="711">
        <v>66</v>
      </c>
      <c r="I12" s="816">
        <f>H12*E12</f>
        <v>846.12</v>
      </c>
      <c r="J12" s="711">
        <v>66</v>
      </c>
      <c r="K12" s="816">
        <f>J12*E12</f>
        <v>846.12</v>
      </c>
    </row>
    <row r="13" spans="1:11" ht="18">
      <c r="A13" s="711">
        <v>4</v>
      </c>
      <c r="B13" s="843" t="s">
        <v>1423</v>
      </c>
      <c r="C13" s="819">
        <v>7130820201</v>
      </c>
      <c r="D13" s="711" t="s">
        <v>19</v>
      </c>
      <c r="E13" s="816">
        <f>VLOOKUP(C13,'SOR RATE'!A:D,4,0)</f>
        <v>35.61</v>
      </c>
      <c r="F13" s="711">
        <v>17</v>
      </c>
      <c r="G13" s="816">
        <f>F13*E13</f>
        <v>605.37</v>
      </c>
      <c r="H13" s="711">
        <v>17</v>
      </c>
      <c r="I13" s="816">
        <f>H13*E13</f>
        <v>605.37</v>
      </c>
      <c r="J13" s="711">
        <v>17</v>
      </c>
      <c r="K13" s="816">
        <f>J13*E13</f>
        <v>605.37</v>
      </c>
    </row>
    <row r="14" spans="1:11" ht="30">
      <c r="A14" s="705">
        <v>5</v>
      </c>
      <c r="B14" s="820" t="s">
        <v>1397</v>
      </c>
      <c r="C14" s="819">
        <v>7130820216</v>
      </c>
      <c r="D14" s="705" t="s">
        <v>19</v>
      </c>
      <c r="E14" s="816">
        <f>VLOOKUP(C14,'SOR RATE'!A:D,4,0)</f>
        <v>40.64</v>
      </c>
      <c r="F14" s="705">
        <v>25</v>
      </c>
      <c r="G14" s="816">
        <f>F14*E14</f>
        <v>1016</v>
      </c>
      <c r="H14" s="711">
        <v>25</v>
      </c>
      <c r="I14" s="816">
        <f>H14*E14</f>
        <v>1016</v>
      </c>
      <c r="J14" s="711">
        <v>25</v>
      </c>
      <c r="K14" s="816">
        <f>J14*E14</f>
        <v>1016</v>
      </c>
    </row>
    <row r="15" spans="1:15" s="1" customFormat="1" ht="17.25" customHeight="1">
      <c r="A15" s="1117">
        <v>6</v>
      </c>
      <c r="B15" s="866" t="s">
        <v>1399</v>
      </c>
      <c r="C15" s="866"/>
      <c r="D15" s="867"/>
      <c r="E15" s="867"/>
      <c r="F15" s="867"/>
      <c r="G15" s="867"/>
      <c r="H15" s="867"/>
      <c r="I15" s="867"/>
      <c r="J15" s="867"/>
      <c r="K15" s="868"/>
      <c r="L15" s="347"/>
      <c r="M15" s="347"/>
      <c r="N15" s="347"/>
      <c r="O15" s="347"/>
    </row>
    <row r="16" spans="1:15" s="1" customFormat="1" ht="15">
      <c r="A16" s="1118"/>
      <c r="B16" s="843" t="s">
        <v>1400</v>
      </c>
      <c r="C16" s="819">
        <v>7130830057</v>
      </c>
      <c r="D16" s="705" t="s">
        <v>980</v>
      </c>
      <c r="E16" s="816">
        <f>VLOOKUP(C16,'SOR RATE'!A:D,4,0)/1000</f>
        <v>33.94858</v>
      </c>
      <c r="F16" s="711">
        <v>3090</v>
      </c>
      <c r="G16" s="816">
        <f>F16*E16</f>
        <v>104901.1122</v>
      </c>
      <c r="H16" s="869" t="s">
        <v>902</v>
      </c>
      <c r="I16" s="816"/>
      <c r="J16" s="869" t="s">
        <v>902</v>
      </c>
      <c r="K16" s="816"/>
      <c r="L16" s="348"/>
      <c r="M16" s="348"/>
      <c r="N16" s="348"/>
      <c r="O16" s="348"/>
    </row>
    <row r="17" spans="1:15" s="1" customFormat="1" ht="15">
      <c r="A17" s="1118"/>
      <c r="B17" s="843" t="s">
        <v>1401</v>
      </c>
      <c r="C17" s="819">
        <v>7130830055</v>
      </c>
      <c r="D17" s="705" t="s">
        <v>980</v>
      </c>
      <c r="E17" s="816">
        <f>VLOOKUP(C17,'SOR RATE'!A:D,4,0)/1000</f>
        <v>20.60463</v>
      </c>
      <c r="F17" s="869" t="s">
        <v>902</v>
      </c>
      <c r="G17" s="816"/>
      <c r="H17" s="869">
        <v>3090</v>
      </c>
      <c r="I17" s="816">
        <f aca="true" t="shared" si="0" ref="I17:I22">H17*E17</f>
        <v>63668.3067</v>
      </c>
      <c r="J17" s="869" t="s">
        <v>902</v>
      </c>
      <c r="K17" s="816"/>
      <c r="L17" s="33"/>
      <c r="M17" s="298"/>
      <c r="N17" s="349"/>
      <c r="O17" s="349"/>
    </row>
    <row r="18" spans="1:15" s="1" customFormat="1" ht="15">
      <c r="A18" s="1119"/>
      <c r="B18" s="843" t="s">
        <v>1402</v>
      </c>
      <c r="C18" s="819">
        <v>7130830053</v>
      </c>
      <c r="D18" s="705" t="s">
        <v>980</v>
      </c>
      <c r="E18" s="816">
        <f>VLOOKUP(C18,'SOR RATE'!A:D,4,0)/1000</f>
        <v>14.0663</v>
      </c>
      <c r="F18" s="711">
        <v>1030</v>
      </c>
      <c r="G18" s="816">
        <f>F18*E18</f>
        <v>14488.289</v>
      </c>
      <c r="H18" s="816">
        <v>1030</v>
      </c>
      <c r="I18" s="816">
        <f t="shared" si="0"/>
        <v>14488.289</v>
      </c>
      <c r="J18" s="816">
        <v>4120</v>
      </c>
      <c r="K18" s="816">
        <f>J18*E18</f>
        <v>57953.156</v>
      </c>
      <c r="L18" s="298"/>
      <c r="M18" s="298"/>
      <c r="N18" s="298"/>
      <c r="O18" s="298"/>
    </row>
    <row r="19" spans="1:11" ht="15">
      <c r="A19" s="1117">
        <v>7</v>
      </c>
      <c r="B19" s="843" t="s">
        <v>1350</v>
      </c>
      <c r="C19" s="819">
        <v>7130860032</v>
      </c>
      <c r="D19" s="705" t="s">
        <v>19</v>
      </c>
      <c r="E19" s="816">
        <f>VLOOKUP(C19,'SOR RATE'!A:D,4,0)</f>
        <v>441.23</v>
      </c>
      <c r="F19" s="711">
        <v>9</v>
      </c>
      <c r="G19" s="816">
        <f>F19*E19</f>
        <v>3971.07</v>
      </c>
      <c r="H19" s="711">
        <v>9</v>
      </c>
      <c r="I19" s="816">
        <f t="shared" si="0"/>
        <v>3971.07</v>
      </c>
      <c r="J19" s="711">
        <v>9</v>
      </c>
      <c r="K19" s="816">
        <f>J19*E19</f>
        <v>3971.07</v>
      </c>
    </row>
    <row r="20" spans="1:11" ht="15">
      <c r="A20" s="1118"/>
      <c r="B20" s="843" t="s">
        <v>1403</v>
      </c>
      <c r="C20" s="819">
        <v>7130860077</v>
      </c>
      <c r="D20" s="705" t="s">
        <v>907</v>
      </c>
      <c r="E20" s="816">
        <f>VLOOKUP(C20,'SOR RATE'!A:D,4,0)/1000</f>
        <v>70.43964</v>
      </c>
      <c r="F20" s="705">
        <v>54</v>
      </c>
      <c r="G20" s="816">
        <f>F20*E20</f>
        <v>3803.7405599999997</v>
      </c>
      <c r="H20" s="705">
        <v>54</v>
      </c>
      <c r="I20" s="816">
        <f t="shared" si="0"/>
        <v>3803.7405599999997</v>
      </c>
      <c r="J20" s="705">
        <v>54</v>
      </c>
      <c r="K20" s="816">
        <f>J20*E20</f>
        <v>3803.7405599999997</v>
      </c>
    </row>
    <row r="21" spans="1:11" ht="15">
      <c r="A21" s="1118"/>
      <c r="B21" s="843" t="s">
        <v>1355</v>
      </c>
      <c r="C21" s="819">
        <v>7130810026</v>
      </c>
      <c r="D21" s="870" t="s">
        <v>745</v>
      </c>
      <c r="E21" s="816">
        <f>VLOOKUP(C21,'SOR RATE'!A182:D182,4,0)</f>
        <v>155.99</v>
      </c>
      <c r="F21" s="705">
        <v>9</v>
      </c>
      <c r="G21" s="816">
        <f>F21*E21</f>
        <v>1403.91</v>
      </c>
      <c r="H21" s="705">
        <v>9</v>
      </c>
      <c r="I21" s="816">
        <f t="shared" si="0"/>
        <v>1403.91</v>
      </c>
      <c r="J21" s="705">
        <v>9</v>
      </c>
      <c r="K21" s="816">
        <f>J21*E21</f>
        <v>1403.91</v>
      </c>
    </row>
    <row r="22" spans="1:11" ht="15">
      <c r="A22" s="1119"/>
      <c r="B22" s="843" t="s">
        <v>1404</v>
      </c>
      <c r="C22" s="819">
        <v>7130820117</v>
      </c>
      <c r="D22" s="705" t="s">
        <v>19</v>
      </c>
      <c r="E22" s="816">
        <f>VLOOKUP(C22,'SOR RATE'!A:D,4,0)</f>
        <v>10.78</v>
      </c>
      <c r="F22" s="705">
        <v>9</v>
      </c>
      <c r="G22" s="816">
        <f>F22*E22</f>
        <v>97.02</v>
      </c>
      <c r="H22" s="705">
        <v>9</v>
      </c>
      <c r="I22" s="816">
        <f t="shared" si="0"/>
        <v>97.02</v>
      </c>
      <c r="J22" s="705">
        <v>9</v>
      </c>
      <c r="K22" s="816">
        <f>J22*E22</f>
        <v>97.02</v>
      </c>
    </row>
    <row r="23" spans="1:11" ht="42.75">
      <c r="A23" s="1117">
        <v>8</v>
      </c>
      <c r="B23" s="756" t="s">
        <v>1757</v>
      </c>
      <c r="D23" s="624"/>
      <c r="E23" s="816"/>
      <c r="F23" s="705">
        <f>17+9</f>
        <v>26</v>
      </c>
      <c r="G23" s="706"/>
      <c r="H23" s="705">
        <f>17+9</f>
        <v>26</v>
      </c>
      <c r="I23" s="706"/>
      <c r="J23" s="705">
        <f>17+9</f>
        <v>26</v>
      </c>
      <c r="K23" s="816"/>
    </row>
    <row r="24" spans="1:13" ht="19.5" customHeight="1">
      <c r="A24" s="1119"/>
      <c r="B24" s="502" t="s">
        <v>1758</v>
      </c>
      <c r="C24" s="819">
        <v>7130640008</v>
      </c>
      <c r="D24" s="614" t="s">
        <v>926</v>
      </c>
      <c r="E24" s="706">
        <f>VLOOKUP(C24,'SOR RATE'!A:D,4,0)</f>
        <v>158</v>
      </c>
      <c r="F24" s="705">
        <f>17+(9*2)</f>
        <v>35</v>
      </c>
      <c r="G24" s="816">
        <f>F24*E24</f>
        <v>5530</v>
      </c>
      <c r="H24" s="705">
        <f>17+(9*2)</f>
        <v>35</v>
      </c>
      <c r="I24" s="816">
        <f>H24*E24</f>
        <v>5530</v>
      </c>
      <c r="J24" s="705">
        <f>17+(9*2)</f>
        <v>35</v>
      </c>
      <c r="K24" s="816">
        <f>J24*E24</f>
        <v>5530</v>
      </c>
      <c r="L24" s="608" t="s">
        <v>1718</v>
      </c>
      <c r="M24" s="608" t="s">
        <v>1886</v>
      </c>
    </row>
    <row r="25" spans="1:11" ht="30">
      <c r="A25" s="849">
        <v>9</v>
      </c>
      <c r="B25" s="716" t="s">
        <v>1407</v>
      </c>
      <c r="C25" s="819">
        <v>7130870013</v>
      </c>
      <c r="D25" s="849" t="s">
        <v>19</v>
      </c>
      <c r="E25" s="816">
        <f>VLOOKUP(C25,'SOR RATE'!A:D,4,0)</f>
        <v>114.85</v>
      </c>
      <c r="F25" s="849">
        <v>5</v>
      </c>
      <c r="G25" s="816">
        <f>F25*E25</f>
        <v>574.25</v>
      </c>
      <c r="H25" s="849">
        <v>5</v>
      </c>
      <c r="I25" s="816">
        <f>H25*E25</f>
        <v>574.25</v>
      </c>
      <c r="J25" s="849">
        <v>5</v>
      </c>
      <c r="K25" s="816">
        <f>J25*E25</f>
        <v>574.25</v>
      </c>
    </row>
    <row r="26" spans="1:11" ht="15.75" customHeight="1">
      <c r="A26" s="711">
        <v>10</v>
      </c>
      <c r="B26" s="843" t="s">
        <v>1405</v>
      </c>
      <c r="C26" s="819">
        <v>7130820018</v>
      </c>
      <c r="D26" s="711" t="s">
        <v>745</v>
      </c>
      <c r="E26" s="816">
        <f>VLOOKUP(C26,'SOR RATE'!A:D,4,0)</f>
        <v>4.05</v>
      </c>
      <c r="F26" s="711">
        <v>44</v>
      </c>
      <c r="G26" s="816">
        <f>F26*E26</f>
        <v>178.2</v>
      </c>
      <c r="H26" s="711">
        <v>44</v>
      </c>
      <c r="I26" s="816">
        <f>H26*E26</f>
        <v>178.2</v>
      </c>
      <c r="J26" s="711">
        <v>44</v>
      </c>
      <c r="K26" s="816">
        <f>J26*E26</f>
        <v>178.2</v>
      </c>
    </row>
    <row r="27" spans="1:11" ht="15">
      <c r="A27" s="1117">
        <v>11</v>
      </c>
      <c r="B27" s="843" t="s">
        <v>908</v>
      </c>
      <c r="C27" s="819"/>
      <c r="D27" s="711" t="s">
        <v>907</v>
      </c>
      <c r="E27" s="816"/>
      <c r="F27" s="711">
        <v>35</v>
      </c>
      <c r="G27" s="816"/>
      <c r="H27" s="711">
        <v>35</v>
      </c>
      <c r="I27" s="816"/>
      <c r="J27" s="711">
        <v>35</v>
      </c>
      <c r="K27" s="816"/>
    </row>
    <row r="28" spans="1:11" ht="18" customHeight="1">
      <c r="A28" s="1118"/>
      <c r="B28" s="829" t="s">
        <v>306</v>
      </c>
      <c r="C28" s="819">
        <v>7130620573</v>
      </c>
      <c r="D28" s="711" t="s">
        <v>907</v>
      </c>
      <c r="E28" s="816">
        <f>VLOOKUP(C28,'SOR RATE'!A:D,4,0)</f>
        <v>69.38</v>
      </c>
      <c r="F28" s="711">
        <v>10</v>
      </c>
      <c r="G28" s="816">
        <f aca="true" t="shared" si="1" ref="G28:G34">F28*E28</f>
        <v>693.8</v>
      </c>
      <c r="H28" s="711">
        <v>10</v>
      </c>
      <c r="I28" s="816">
        <f aca="true" t="shared" si="2" ref="I28:I34">H28*E28</f>
        <v>693.8</v>
      </c>
      <c r="J28" s="711">
        <v>10</v>
      </c>
      <c r="K28" s="816">
        <f aca="true" t="shared" si="3" ref="K28:K34">J28*E28</f>
        <v>693.8</v>
      </c>
    </row>
    <row r="29" spans="1:11" ht="15.75" customHeight="1">
      <c r="A29" s="1118"/>
      <c r="B29" s="829" t="s">
        <v>13</v>
      </c>
      <c r="C29" s="819">
        <v>7130620609</v>
      </c>
      <c r="D29" s="711" t="s">
        <v>907</v>
      </c>
      <c r="E29" s="816">
        <f>VLOOKUP(C29,'SOR RATE'!A:D,4,0)</f>
        <v>69.38</v>
      </c>
      <c r="F29" s="711">
        <v>5</v>
      </c>
      <c r="G29" s="816">
        <f t="shared" si="1"/>
        <v>346.9</v>
      </c>
      <c r="H29" s="711">
        <v>5</v>
      </c>
      <c r="I29" s="816">
        <f t="shared" si="2"/>
        <v>346.9</v>
      </c>
      <c r="J29" s="711">
        <v>5</v>
      </c>
      <c r="K29" s="816">
        <f t="shared" si="3"/>
        <v>346.9</v>
      </c>
    </row>
    <row r="30" spans="1:11" ht="17.25" customHeight="1">
      <c r="A30" s="1119"/>
      <c r="B30" s="829" t="s">
        <v>1228</v>
      </c>
      <c r="C30" s="819">
        <v>7130620625</v>
      </c>
      <c r="D30" s="711" t="s">
        <v>907</v>
      </c>
      <c r="E30" s="816">
        <f>VLOOKUP(C30,'SOR RATE'!A:D,4,0)</f>
        <v>67.06</v>
      </c>
      <c r="F30" s="711">
        <v>20</v>
      </c>
      <c r="G30" s="816">
        <f t="shared" si="1"/>
        <v>1341.2</v>
      </c>
      <c r="H30" s="711">
        <v>20</v>
      </c>
      <c r="I30" s="816">
        <f t="shared" si="2"/>
        <v>1341.2</v>
      </c>
      <c r="J30" s="711">
        <v>20</v>
      </c>
      <c r="K30" s="816">
        <f t="shared" si="3"/>
        <v>1341.2</v>
      </c>
    </row>
    <row r="31" spans="1:11" ht="15">
      <c r="A31" s="711">
        <v>12</v>
      </c>
      <c r="B31" s="843" t="s">
        <v>1352</v>
      </c>
      <c r="C31" s="819">
        <v>7130830006</v>
      </c>
      <c r="D31" s="711" t="s">
        <v>907</v>
      </c>
      <c r="E31" s="816">
        <f>VLOOKUP(C31,'SOR RATE'!A:D,4,0)</f>
        <v>155.45</v>
      </c>
      <c r="F31" s="711">
        <v>3.5</v>
      </c>
      <c r="G31" s="816">
        <f t="shared" si="1"/>
        <v>544.0749999999999</v>
      </c>
      <c r="H31" s="711">
        <v>3.5</v>
      </c>
      <c r="I31" s="816">
        <f t="shared" si="2"/>
        <v>544.0749999999999</v>
      </c>
      <c r="J31" s="711">
        <v>3.5</v>
      </c>
      <c r="K31" s="816">
        <f t="shared" si="3"/>
        <v>544.0749999999999</v>
      </c>
    </row>
    <row r="32" spans="1:11" ht="15.75" customHeight="1">
      <c r="A32" s="711">
        <v>13</v>
      </c>
      <c r="B32" s="843" t="s">
        <v>906</v>
      </c>
      <c r="C32" s="819">
        <v>7130210809</v>
      </c>
      <c r="D32" s="711" t="s">
        <v>905</v>
      </c>
      <c r="E32" s="816">
        <f>VLOOKUP(C32,'SOR RATE'!A:D,4,0)</f>
        <v>327.94</v>
      </c>
      <c r="F32" s="711">
        <v>2</v>
      </c>
      <c r="G32" s="816">
        <f t="shared" si="1"/>
        <v>655.88</v>
      </c>
      <c r="H32" s="711">
        <v>2</v>
      </c>
      <c r="I32" s="816">
        <f t="shared" si="2"/>
        <v>655.88</v>
      </c>
      <c r="J32" s="711">
        <v>2</v>
      </c>
      <c r="K32" s="816">
        <f t="shared" si="3"/>
        <v>655.88</v>
      </c>
    </row>
    <row r="33" spans="1:11" ht="15">
      <c r="A33" s="711">
        <v>14</v>
      </c>
      <c r="B33" s="843" t="s">
        <v>1356</v>
      </c>
      <c r="C33" s="819">
        <v>7130211158</v>
      </c>
      <c r="D33" s="711" t="s">
        <v>905</v>
      </c>
      <c r="E33" s="816">
        <f>VLOOKUP(C33,'SOR RATE'!A:D,4,0)</f>
        <v>146.77</v>
      </c>
      <c r="F33" s="711">
        <v>2</v>
      </c>
      <c r="G33" s="816">
        <f t="shared" si="1"/>
        <v>293.54</v>
      </c>
      <c r="H33" s="711">
        <v>2</v>
      </c>
      <c r="I33" s="816">
        <f t="shared" si="2"/>
        <v>293.54</v>
      </c>
      <c r="J33" s="711">
        <v>2</v>
      </c>
      <c r="K33" s="816">
        <f t="shared" si="3"/>
        <v>293.54</v>
      </c>
    </row>
    <row r="34" spans="1:11" ht="15">
      <c r="A34" s="711">
        <v>15</v>
      </c>
      <c r="B34" s="843" t="s">
        <v>1424</v>
      </c>
      <c r="C34" s="819">
        <v>7130870043</v>
      </c>
      <c r="D34" s="711" t="s">
        <v>907</v>
      </c>
      <c r="E34" s="816">
        <f>VLOOKUP(C34,'SOR RATE'!A:D,4,0)/1000</f>
        <v>62.99996</v>
      </c>
      <c r="F34" s="711">
        <v>6</v>
      </c>
      <c r="G34" s="816">
        <f t="shared" si="1"/>
        <v>377.99976000000004</v>
      </c>
      <c r="H34" s="711">
        <v>6</v>
      </c>
      <c r="I34" s="816">
        <f t="shared" si="2"/>
        <v>377.99976000000004</v>
      </c>
      <c r="J34" s="711">
        <v>6</v>
      </c>
      <c r="K34" s="816">
        <f t="shared" si="3"/>
        <v>377.99976000000004</v>
      </c>
    </row>
    <row r="35" spans="1:13" ht="19.5" customHeight="1">
      <c r="A35" s="547">
        <v>16</v>
      </c>
      <c r="B35" s="703" t="s">
        <v>566</v>
      </c>
      <c r="C35" s="321"/>
      <c r="D35" s="547"/>
      <c r="E35" s="547"/>
      <c r="F35" s="547"/>
      <c r="G35" s="712">
        <f>SUM(G10:G34)</f>
        <v>196352.65652000005</v>
      </c>
      <c r="H35" s="712"/>
      <c r="I35" s="712">
        <f>SUM(I10:I34)</f>
        <v>155119.85102000003</v>
      </c>
      <c r="J35" s="712"/>
      <c r="K35" s="712">
        <f>SUM(K10:K34)</f>
        <v>134916.41132000004</v>
      </c>
      <c r="L35" s="307"/>
      <c r="M35" s="3"/>
    </row>
    <row r="36" spans="1:13" ht="21" customHeight="1">
      <c r="A36" s="849">
        <v>17</v>
      </c>
      <c r="B36" s="701" t="s">
        <v>565</v>
      </c>
      <c r="C36" s="825"/>
      <c r="D36" s="826"/>
      <c r="E36" s="827">
        <v>0.09</v>
      </c>
      <c r="F36" s="827"/>
      <c r="G36" s="816">
        <f>G35*E36</f>
        <v>17671.739086800004</v>
      </c>
      <c r="H36" s="816"/>
      <c r="I36" s="816">
        <f>I35*E36</f>
        <v>13960.786591800002</v>
      </c>
      <c r="J36" s="816"/>
      <c r="K36" s="816">
        <f>K35*E36</f>
        <v>12142.477018800004</v>
      </c>
      <c r="L36" s="307"/>
      <c r="M36" s="49"/>
    </row>
    <row r="37" spans="1:12" ht="31.5" customHeight="1">
      <c r="A37" s="702">
        <v>18</v>
      </c>
      <c r="B37" s="707" t="s">
        <v>1425</v>
      </c>
      <c r="C37" s="828"/>
      <c r="D37" s="702" t="s">
        <v>19</v>
      </c>
      <c r="E37" s="738">
        <f>97*1.11*1.086275*1.1112*1.0685*1.06217*1.059*1.2778</f>
        <v>199.5970562453939</v>
      </c>
      <c r="F37" s="737">
        <v>17</v>
      </c>
      <c r="G37" s="2">
        <f>F37*E37</f>
        <v>3393.1499561716964</v>
      </c>
      <c r="H37" s="737">
        <v>17</v>
      </c>
      <c r="I37" s="2">
        <f>H37*E37</f>
        <v>3393.1499561716964</v>
      </c>
      <c r="J37" s="737">
        <v>17</v>
      </c>
      <c r="K37" s="2">
        <f>J37*E37</f>
        <v>3393.1499561716964</v>
      </c>
      <c r="L37" s="307"/>
    </row>
    <row r="38" spans="1:12" ht="21" customHeight="1">
      <c r="A38" s="624">
        <v>19</v>
      </c>
      <c r="B38" s="710" t="s">
        <v>1426</v>
      </c>
      <c r="C38" s="519"/>
      <c r="D38" s="624"/>
      <c r="E38" s="2"/>
      <c r="F38" s="624"/>
      <c r="G38" s="2">
        <v>51202.23</v>
      </c>
      <c r="H38" s="624"/>
      <c r="I38" s="2">
        <f>+G38</f>
        <v>51202.23</v>
      </c>
      <c r="J38" s="624"/>
      <c r="K38" s="2">
        <f>+I38</f>
        <v>51202.23</v>
      </c>
      <c r="L38" s="307"/>
    </row>
    <row r="39" spans="1:13" ht="65.25" customHeight="1">
      <c r="A39" s="624">
        <v>20</v>
      </c>
      <c r="B39" s="710" t="s">
        <v>1427</v>
      </c>
      <c r="C39" s="519"/>
      <c r="D39" s="624"/>
      <c r="E39" s="2"/>
      <c r="F39" s="624"/>
      <c r="G39" s="311">
        <f>(10530.28*1.88%)+10530.28</f>
        <v>10728.249264</v>
      </c>
      <c r="H39" s="738"/>
      <c r="I39" s="311">
        <f>(10530.28*1.88%)+10530.28</f>
        <v>10728.249264</v>
      </c>
      <c r="J39" s="738"/>
      <c r="K39" s="311">
        <f>(10530.28*1.88%)+10530.28</f>
        <v>10728.249264</v>
      </c>
      <c r="L39" s="620"/>
      <c r="M39" s="295"/>
    </row>
    <row r="40" spans="1:12" ht="18" customHeight="1">
      <c r="A40" s="516">
        <v>21</v>
      </c>
      <c r="B40" s="703" t="s">
        <v>567</v>
      </c>
      <c r="C40" s="519"/>
      <c r="D40" s="624"/>
      <c r="E40" s="2"/>
      <c r="F40" s="624"/>
      <c r="G40" s="518">
        <f>SUM(G35:G39)</f>
        <v>279348.0248269717</v>
      </c>
      <c r="H40" s="516"/>
      <c r="I40" s="518">
        <f>SUM(I35:I39)</f>
        <v>234404.26683197176</v>
      </c>
      <c r="J40" s="516"/>
      <c r="K40" s="518">
        <f>SUM(K35:K39)</f>
        <v>212382.51755897177</v>
      </c>
      <c r="L40" s="307"/>
    </row>
    <row r="41" spans="1:12" ht="50.25" customHeight="1">
      <c r="A41" s="624">
        <v>22</v>
      </c>
      <c r="B41" s="707" t="s">
        <v>1747</v>
      </c>
      <c r="C41" s="519"/>
      <c r="D41" s="624"/>
      <c r="E41" s="708">
        <v>0.125</v>
      </c>
      <c r="F41" s="624"/>
      <c r="G41" s="2">
        <f>G35*E41</f>
        <v>24544.082065000006</v>
      </c>
      <c r="H41" s="624"/>
      <c r="I41" s="2">
        <f>I35*E41</f>
        <v>19389.981377500004</v>
      </c>
      <c r="J41" s="624"/>
      <c r="K41" s="2">
        <f>K35*E41</f>
        <v>16864.551415000005</v>
      </c>
      <c r="L41" s="120"/>
    </row>
    <row r="42" spans="1:12" ht="31.5" customHeight="1">
      <c r="A42" s="624">
        <v>23</v>
      </c>
      <c r="B42" s="710" t="s">
        <v>1411</v>
      </c>
      <c r="C42" s="519"/>
      <c r="D42" s="624"/>
      <c r="E42" s="2"/>
      <c r="F42" s="624"/>
      <c r="G42" s="2">
        <f>G40+G41</f>
        <v>303892.1068919717</v>
      </c>
      <c r="H42" s="2"/>
      <c r="I42" s="2">
        <f>I40+I41</f>
        <v>253794.24820947176</v>
      </c>
      <c r="J42" s="2"/>
      <c r="K42" s="2">
        <f>K40+K41</f>
        <v>229247.06897397176</v>
      </c>
      <c r="L42" s="307"/>
    </row>
    <row r="43" spans="1:12" ht="34.5" customHeight="1">
      <c r="A43" s="516">
        <v>24</v>
      </c>
      <c r="B43" s="717" t="s">
        <v>1412</v>
      </c>
      <c r="C43" s="515"/>
      <c r="D43" s="516"/>
      <c r="E43" s="518"/>
      <c r="F43" s="516"/>
      <c r="G43" s="712">
        <f>ROUND(G42,0)</f>
        <v>303892</v>
      </c>
      <c r="H43" s="516"/>
      <c r="I43" s="712">
        <f>ROUND(I42,0)</f>
        <v>253794</v>
      </c>
      <c r="J43" s="516"/>
      <c r="K43" s="712">
        <f>ROUND(K42,0)</f>
        <v>229247</v>
      </c>
      <c r="L43" s="307"/>
    </row>
    <row r="45" spans="1:7" ht="15.75">
      <c r="A45" s="310"/>
      <c r="B45" s="351" t="s">
        <v>1152</v>
      </c>
      <c r="C45" s="352"/>
      <c r="D45" s="84"/>
      <c r="E45" s="84"/>
      <c r="F45" s="84"/>
      <c r="G45" s="85"/>
    </row>
    <row r="46" spans="1:7" ht="18">
      <c r="A46" s="495" t="s">
        <v>982</v>
      </c>
      <c r="B46" s="481" t="s">
        <v>1749</v>
      </c>
      <c r="D46" s="84"/>
      <c r="E46" s="84"/>
      <c r="F46" s="84"/>
      <c r="G46" s="84"/>
    </row>
    <row r="47" spans="1:7" ht="18">
      <c r="A47" s="495"/>
      <c r="B47" s="481"/>
      <c r="D47" s="84"/>
      <c r="E47" s="84"/>
      <c r="F47" s="84"/>
      <c r="G47" s="84"/>
    </row>
    <row r="48" spans="1:7" ht="18">
      <c r="A48" s="495"/>
      <c r="B48" s="481"/>
      <c r="D48" s="84"/>
      <c r="E48" s="84"/>
      <c r="F48" s="84"/>
      <c r="G48" s="84"/>
    </row>
    <row r="49" spans="1:7" ht="18">
      <c r="A49" s="495"/>
      <c r="B49" s="481"/>
      <c r="D49" s="84"/>
      <c r="E49" s="84"/>
      <c r="F49" s="84"/>
      <c r="G49" s="84"/>
    </row>
    <row r="61" spans="9:11" ht="15">
      <c r="I61" s="6"/>
      <c r="J61" s="6"/>
      <c r="K61" s="6"/>
    </row>
    <row r="62" spans="9:11" ht="15">
      <c r="I62" s="6"/>
      <c r="J62" s="6"/>
      <c r="K62" s="6"/>
    </row>
    <row r="63" spans="9:11" ht="15">
      <c r="I63" s="6"/>
      <c r="J63" s="6"/>
      <c r="K63" s="6"/>
    </row>
    <row r="64" spans="9:11" ht="15">
      <c r="I64" s="6"/>
      <c r="J64" s="6"/>
      <c r="K64" s="6"/>
    </row>
    <row r="65" spans="9:11" ht="15">
      <c r="I65" s="6"/>
      <c r="J65" s="6"/>
      <c r="K65" s="6"/>
    </row>
    <row r="66" spans="9:11" ht="15">
      <c r="I66" s="6"/>
      <c r="J66" s="6"/>
      <c r="K66" s="6"/>
    </row>
    <row r="67" spans="9:11" ht="15">
      <c r="I67" s="6"/>
      <c r="J67" s="6"/>
      <c r="K67" s="6"/>
    </row>
    <row r="68" spans="9:11" ht="15">
      <c r="I68" s="6"/>
      <c r="J68" s="6"/>
      <c r="K68" s="6"/>
    </row>
    <row r="69" spans="9:11" ht="15">
      <c r="I69" s="6"/>
      <c r="J69" s="6"/>
      <c r="K69" s="6"/>
    </row>
    <row r="70" spans="9:11" ht="15">
      <c r="I70" s="6"/>
      <c r="J70" s="6"/>
      <c r="K70" s="6"/>
    </row>
    <row r="71" spans="9:11" ht="15">
      <c r="I71" s="6"/>
      <c r="J71" s="6"/>
      <c r="K71" s="6"/>
    </row>
    <row r="72" spans="9:11" ht="15">
      <c r="I72" s="6"/>
      <c r="J72" s="6"/>
      <c r="K72" s="6"/>
    </row>
    <row r="73" spans="9:11" ht="15">
      <c r="I73" s="6"/>
      <c r="J73" s="6"/>
      <c r="K73" s="6"/>
    </row>
    <row r="74" spans="9:11" ht="15.75">
      <c r="I74" s="324"/>
      <c r="J74" s="324"/>
      <c r="K74" s="324"/>
    </row>
    <row r="75" spans="9:12" ht="15">
      <c r="I75" s="4"/>
      <c r="J75" s="6"/>
      <c r="K75" s="6"/>
      <c r="L75" s="6"/>
    </row>
    <row r="76" spans="9:12" ht="15">
      <c r="I76" s="4"/>
      <c r="J76" s="6"/>
      <c r="K76" s="6"/>
      <c r="L76" s="6"/>
    </row>
    <row r="77" spans="9:12" ht="15">
      <c r="I77" s="4"/>
      <c r="J77" s="6"/>
      <c r="K77" s="6"/>
      <c r="L77" s="6"/>
    </row>
    <row r="78" spans="9:12" ht="15">
      <c r="I78" s="4"/>
      <c r="J78" s="6"/>
      <c r="K78" s="6"/>
      <c r="L78" s="6"/>
    </row>
    <row r="79" spans="9:12" ht="15">
      <c r="I79" s="4"/>
      <c r="J79" s="6"/>
      <c r="K79" s="6"/>
      <c r="L79" s="6"/>
    </row>
    <row r="80" spans="9:12" ht="15">
      <c r="I80" s="4"/>
      <c r="J80" s="6"/>
      <c r="K80" s="6"/>
      <c r="L80" s="6"/>
    </row>
    <row r="81" spans="9:12" ht="15">
      <c r="I81" s="4"/>
      <c r="J81" s="6"/>
      <c r="K81" s="6"/>
      <c r="L81" s="6"/>
    </row>
    <row r="82" spans="9:12" ht="15">
      <c r="I82" s="4"/>
      <c r="J82" s="6"/>
      <c r="K82" s="6"/>
      <c r="L82" s="6"/>
    </row>
    <row r="83" spans="9:12" ht="15">
      <c r="I83" s="4"/>
      <c r="J83" s="6"/>
      <c r="K83" s="6"/>
      <c r="L83" s="6"/>
    </row>
    <row r="84" spans="9:12" ht="15">
      <c r="I84" s="4"/>
      <c r="J84" s="6"/>
      <c r="K84" s="6"/>
      <c r="L84" s="6"/>
    </row>
    <row r="85" spans="9:12" ht="15">
      <c r="I85" s="4"/>
      <c r="J85" s="6"/>
      <c r="K85" s="6"/>
      <c r="L85" s="6"/>
    </row>
    <row r="86" spans="9:12" ht="15">
      <c r="I86" s="4"/>
      <c r="J86" s="6"/>
      <c r="K86" s="6"/>
      <c r="L86" s="6"/>
    </row>
    <row r="87" spans="9:12" ht="15">
      <c r="I87" s="4"/>
      <c r="J87" s="6"/>
      <c r="K87" s="6"/>
      <c r="L87" s="6"/>
    </row>
    <row r="88" spans="9:12" ht="15">
      <c r="I88" s="4"/>
      <c r="J88" s="6"/>
      <c r="K88" s="6"/>
      <c r="L88" s="6"/>
    </row>
    <row r="89" spans="9:12" ht="15">
      <c r="I89" s="4"/>
      <c r="J89" s="6"/>
      <c r="K89" s="6"/>
      <c r="L89" s="6"/>
    </row>
    <row r="90" spans="9:12" ht="15">
      <c r="I90" s="4"/>
      <c r="J90" s="6"/>
      <c r="K90" s="6"/>
      <c r="L90" s="6"/>
    </row>
    <row r="91" spans="9:12" ht="15">
      <c r="I91" s="4"/>
      <c r="J91" s="6"/>
      <c r="K91" s="6"/>
      <c r="L91" s="6"/>
    </row>
    <row r="92" spans="9:12" ht="15">
      <c r="I92" s="4"/>
      <c r="J92" s="6"/>
      <c r="K92" s="6"/>
      <c r="L92" s="6"/>
    </row>
    <row r="93" spans="9:12" ht="15">
      <c r="I93" s="4"/>
      <c r="J93" s="6"/>
      <c r="K93" s="6"/>
      <c r="L93" s="6"/>
    </row>
    <row r="94" spans="10:12" ht="12.75">
      <c r="J94" s="353"/>
      <c r="K94" s="353"/>
      <c r="L94" s="353"/>
    </row>
    <row r="95" spans="10:12" ht="12.75">
      <c r="J95" s="353"/>
      <c r="K95" s="353"/>
      <c r="L95" s="353"/>
    </row>
    <row r="96" spans="10:12" ht="12.75">
      <c r="J96" s="353"/>
      <c r="K96" s="353"/>
      <c r="L96" s="353"/>
    </row>
    <row r="97" spans="10:12" ht="12.75">
      <c r="J97" s="353"/>
      <c r="K97" s="353"/>
      <c r="L97" s="353"/>
    </row>
    <row r="98" spans="10:12" ht="12.75">
      <c r="J98" s="353"/>
      <c r="K98" s="353"/>
      <c r="L98" s="353"/>
    </row>
    <row r="99" spans="10:12" ht="12.75">
      <c r="J99" s="353"/>
      <c r="K99" s="353"/>
      <c r="L99" s="353"/>
    </row>
    <row r="100" spans="10:12" ht="12.75">
      <c r="J100" s="353"/>
      <c r="K100" s="353"/>
      <c r="L100" s="353"/>
    </row>
    <row r="101" spans="10:12" ht="12.75">
      <c r="J101" s="353"/>
      <c r="K101" s="353"/>
      <c r="L101" s="353"/>
    </row>
    <row r="102" spans="10:12" ht="12.75">
      <c r="J102" s="353"/>
      <c r="K102" s="353"/>
      <c r="L102" s="353"/>
    </row>
    <row r="103" spans="10:12" ht="12.75">
      <c r="J103" s="353"/>
      <c r="K103" s="353"/>
      <c r="L103" s="353"/>
    </row>
    <row r="104" spans="10:12" ht="12.75">
      <c r="J104" s="353"/>
      <c r="K104" s="353"/>
      <c r="L104" s="353"/>
    </row>
    <row r="105" spans="10:12" ht="12.75">
      <c r="J105" s="353"/>
      <c r="K105" s="353"/>
      <c r="L105" s="353"/>
    </row>
    <row r="106" spans="10:12" ht="12.75">
      <c r="J106" s="353"/>
      <c r="K106" s="353"/>
      <c r="L106" s="353"/>
    </row>
    <row r="107" spans="10:12" ht="12.75">
      <c r="J107" s="353"/>
      <c r="K107" s="353"/>
      <c r="L107" s="353"/>
    </row>
    <row r="108" spans="10:12" ht="12.75">
      <c r="J108" s="353"/>
      <c r="K108" s="353"/>
      <c r="L108" s="353"/>
    </row>
  </sheetData>
  <sheetProtection/>
  <mergeCells count="14">
    <mergeCell ref="J7:K7"/>
    <mergeCell ref="A15:A18"/>
    <mergeCell ref="A19:A22"/>
    <mergeCell ref="A23:A24"/>
    <mergeCell ref="A27:A30"/>
    <mergeCell ref="D1:H1"/>
    <mergeCell ref="B3:I3"/>
    <mergeCell ref="A7:A8"/>
    <mergeCell ref="B7:B8"/>
    <mergeCell ref="C7:C8"/>
    <mergeCell ref="D7:D8"/>
    <mergeCell ref="E7:E8"/>
    <mergeCell ref="F7:G7"/>
    <mergeCell ref="H7:I7"/>
  </mergeCells>
  <conditionalFormatting sqref="B35:B36">
    <cfRule type="cellIs" priority="1" dxfId="0" operator="equal" stopIfTrue="1">
      <formula>"?"</formula>
    </cfRule>
  </conditionalFormatting>
  <printOptions gridLines="1" horizontalCentered="1"/>
  <pageMargins left="0.67" right="0.16" top="0.7" bottom="0.3" header="0.41" footer="0.16"/>
  <pageSetup fitToHeight="2" horizontalDpi="600" verticalDpi="600" orientation="landscape" paperSize="9" scale="91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8"/>
  <sheetViews>
    <sheetView zoomScale="90" zoomScaleNormal="90" zoomScalePageLayoutView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L41" sqref="L41"/>
    </sheetView>
  </sheetViews>
  <sheetFormatPr defaultColWidth="9.140625" defaultRowHeight="12.75"/>
  <cols>
    <col min="1" max="1" width="5.57421875" style="540" customWidth="1"/>
    <col min="2" max="2" width="41.7109375" style="1" customWidth="1"/>
    <col min="3" max="3" width="15.57421875" style="1" customWidth="1"/>
    <col min="4" max="4" width="6.421875" style="1" customWidth="1"/>
    <col min="5" max="5" width="10.28125" style="1" bestFit="1" customWidth="1"/>
    <col min="6" max="6" width="7.8515625" style="1" bestFit="1" customWidth="1"/>
    <col min="7" max="7" width="18.8515625" style="1" customWidth="1"/>
    <col min="8" max="8" width="7.8515625" style="1" bestFit="1" customWidth="1"/>
    <col min="9" max="9" width="13.8515625" style="1" bestFit="1" customWidth="1"/>
    <col min="10" max="10" width="7.8515625" style="1" bestFit="1" customWidth="1"/>
    <col min="11" max="11" width="13.8515625" style="1" bestFit="1" customWidth="1"/>
    <col min="12" max="12" width="24.28125" style="1" customWidth="1"/>
    <col min="13" max="13" width="24.7109375" style="1" customWidth="1"/>
    <col min="14" max="14" width="10.8515625" style="1" customWidth="1"/>
    <col min="15" max="16384" width="9.140625" style="1" customWidth="1"/>
  </cols>
  <sheetData>
    <row r="1" spans="2:11" ht="18">
      <c r="B1" s="30"/>
      <c r="C1" s="1066" t="s">
        <v>1428</v>
      </c>
      <c r="D1" s="1066"/>
      <c r="E1" s="1066"/>
      <c r="F1" s="1066"/>
      <c r="G1" s="1066"/>
      <c r="H1" s="1066"/>
      <c r="I1" s="30"/>
      <c r="J1" s="30"/>
      <c r="K1" s="30"/>
    </row>
    <row r="2" spans="1:11" ht="7.5" customHeight="1">
      <c r="A2" s="542"/>
      <c r="B2" s="542"/>
      <c r="C2" s="542"/>
      <c r="D2" s="542"/>
      <c r="E2" s="542"/>
      <c r="F2" s="542"/>
      <c r="G2" s="542"/>
      <c r="H2" s="542"/>
      <c r="I2" s="542"/>
      <c r="J2" s="542"/>
      <c r="K2" s="542"/>
    </row>
    <row r="3" spans="2:11" ht="32.25" customHeight="1">
      <c r="B3" s="1068" t="s">
        <v>1429</v>
      </c>
      <c r="C3" s="1068"/>
      <c r="D3" s="1068"/>
      <c r="E3" s="1068"/>
      <c r="F3" s="1068"/>
      <c r="G3" s="1068"/>
      <c r="H3" s="1068"/>
      <c r="I3" s="1068"/>
      <c r="J3" s="8"/>
      <c r="K3" s="8"/>
    </row>
    <row r="4" spans="1:11" ht="10.5" customHeight="1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</row>
    <row r="5" spans="1:11" ht="15.75">
      <c r="A5" s="346"/>
      <c r="B5" s="86"/>
      <c r="C5" s="86"/>
      <c r="D5" s="86"/>
      <c r="E5" s="86"/>
      <c r="F5" s="86"/>
      <c r="G5" s="86"/>
      <c r="H5" s="86"/>
      <c r="I5" s="86"/>
      <c r="J5" s="86"/>
      <c r="K5" s="537" t="s">
        <v>1823</v>
      </c>
    </row>
    <row r="6" spans="1:11" ht="9.75" customHeight="1">
      <c r="A6" s="346"/>
      <c r="B6" s="86"/>
      <c r="C6" s="86"/>
      <c r="D6" s="86"/>
      <c r="E6" s="86"/>
      <c r="F6" s="86"/>
      <c r="G6" s="86"/>
      <c r="H6" s="86"/>
      <c r="I6" s="86"/>
      <c r="J6" s="86"/>
      <c r="K6" s="17"/>
    </row>
    <row r="7" spans="1:11" ht="33.75" customHeight="1">
      <c r="A7" s="1077" t="s">
        <v>1225</v>
      </c>
      <c r="B7" s="1113" t="s">
        <v>16</v>
      </c>
      <c r="C7" s="1063" t="s">
        <v>12</v>
      </c>
      <c r="D7" s="1113" t="s">
        <v>17</v>
      </c>
      <c r="E7" s="1067" t="s">
        <v>746</v>
      </c>
      <c r="F7" s="1067" t="s">
        <v>1430</v>
      </c>
      <c r="G7" s="1067"/>
      <c r="H7" s="1067" t="s">
        <v>1392</v>
      </c>
      <c r="I7" s="1067"/>
      <c r="J7" s="1067" t="s">
        <v>1417</v>
      </c>
      <c r="K7" s="1067"/>
    </row>
    <row r="8" spans="1:11" ht="34.5" customHeight="1">
      <c r="A8" s="1126"/>
      <c r="B8" s="1113"/>
      <c r="C8" s="1063"/>
      <c r="D8" s="1113"/>
      <c r="E8" s="1067"/>
      <c r="F8" s="1067"/>
      <c r="G8" s="1067"/>
      <c r="H8" s="1067"/>
      <c r="I8" s="1067"/>
      <c r="J8" s="1067"/>
      <c r="K8" s="1067"/>
    </row>
    <row r="9" spans="1:11" ht="12.75">
      <c r="A9" s="1126"/>
      <c r="B9" s="1113"/>
      <c r="C9" s="1063"/>
      <c r="D9" s="1113"/>
      <c r="E9" s="1067"/>
      <c r="F9" s="1067"/>
      <c r="G9" s="1067"/>
      <c r="H9" s="1067"/>
      <c r="I9" s="1067"/>
      <c r="J9" s="1067"/>
      <c r="K9" s="1067"/>
    </row>
    <row r="10" spans="1:11" ht="18.75" customHeight="1">
      <c r="A10" s="1078"/>
      <c r="B10" s="1113"/>
      <c r="C10" s="1063"/>
      <c r="D10" s="1113"/>
      <c r="E10" s="1067"/>
      <c r="F10" s="547" t="s">
        <v>580</v>
      </c>
      <c r="G10" s="547" t="s">
        <v>1176</v>
      </c>
      <c r="H10" s="547" t="s">
        <v>580</v>
      </c>
      <c r="I10" s="547" t="s">
        <v>1176</v>
      </c>
      <c r="J10" s="547" t="s">
        <v>580</v>
      </c>
      <c r="K10" s="547" t="s">
        <v>1176</v>
      </c>
    </row>
    <row r="11" spans="1:11" ht="15.75">
      <c r="A11" s="354" t="s">
        <v>910</v>
      </c>
      <c r="B11" s="354" t="s">
        <v>911</v>
      </c>
      <c r="C11" s="354" t="s">
        <v>912</v>
      </c>
      <c r="D11" s="354" t="s">
        <v>1368</v>
      </c>
      <c r="E11" s="354" t="s">
        <v>1369</v>
      </c>
      <c r="F11" s="354" t="s">
        <v>913</v>
      </c>
      <c r="G11" s="354" t="s">
        <v>1418</v>
      </c>
      <c r="H11" s="354" t="s">
        <v>1419</v>
      </c>
      <c r="I11" s="354" t="s">
        <v>1370</v>
      </c>
      <c r="J11" s="354" t="s">
        <v>1371</v>
      </c>
      <c r="K11" s="354" t="s">
        <v>1372</v>
      </c>
    </row>
    <row r="12" spans="1:11" ht="15.75" customHeight="1">
      <c r="A12" s="711">
        <v>1</v>
      </c>
      <c r="B12" s="843" t="s">
        <v>1420</v>
      </c>
      <c r="C12" s="819">
        <v>7130800012</v>
      </c>
      <c r="D12" s="711" t="s">
        <v>19</v>
      </c>
      <c r="E12" s="816">
        <f>VLOOKUP(C12,'SOR RATE'!A:D,4,0)</f>
        <v>2255.2</v>
      </c>
      <c r="F12" s="711">
        <v>17</v>
      </c>
      <c r="G12" s="816">
        <f>F12*E12</f>
        <v>38338.399999999994</v>
      </c>
      <c r="H12" s="711">
        <v>17</v>
      </c>
      <c r="I12" s="816">
        <f>H12*E12</f>
        <v>38338.399999999994</v>
      </c>
      <c r="J12" s="711">
        <v>17</v>
      </c>
      <c r="K12" s="816">
        <f>J12*E12</f>
        <v>38338.399999999994</v>
      </c>
    </row>
    <row r="13" spans="1:11" ht="15">
      <c r="A13" s="711">
        <v>2</v>
      </c>
      <c r="B13" s="843" t="s">
        <v>1431</v>
      </c>
      <c r="C13" s="819">
        <v>7130810413</v>
      </c>
      <c r="D13" s="711" t="s">
        <v>19</v>
      </c>
      <c r="E13" s="816">
        <f>VLOOKUP(C13,'SOR RATE'!A:D,4,0)</f>
        <v>623.86</v>
      </c>
      <c r="F13" s="711">
        <v>22</v>
      </c>
      <c r="G13" s="816">
        <f>F13*E13</f>
        <v>13724.92</v>
      </c>
      <c r="H13" s="711">
        <v>22</v>
      </c>
      <c r="I13" s="816">
        <f>H13*E13</f>
        <v>13724.92</v>
      </c>
      <c r="J13" s="711">
        <v>22</v>
      </c>
      <c r="K13" s="816">
        <f>J13*E13</f>
        <v>13724.92</v>
      </c>
    </row>
    <row r="14" spans="1:11" ht="15">
      <c r="A14" s="711">
        <v>3</v>
      </c>
      <c r="B14" s="843" t="s">
        <v>1422</v>
      </c>
      <c r="C14" s="819">
        <v>7130820106</v>
      </c>
      <c r="D14" s="711" t="s">
        <v>19</v>
      </c>
      <c r="E14" s="816">
        <f>VLOOKUP(C14,'SOR RATE'!A:D,4,0)</f>
        <v>12.82</v>
      </c>
      <c r="F14" s="711">
        <v>44</v>
      </c>
      <c r="G14" s="816">
        <f>F14*E14</f>
        <v>564.08</v>
      </c>
      <c r="H14" s="711">
        <v>44</v>
      </c>
      <c r="I14" s="816">
        <f>H14*E14</f>
        <v>564.08</v>
      </c>
      <c r="J14" s="711">
        <v>44</v>
      </c>
      <c r="K14" s="816">
        <f>J14*E14</f>
        <v>564.08</v>
      </c>
    </row>
    <row r="15" spans="1:11" ht="15">
      <c r="A15" s="711">
        <v>4</v>
      </c>
      <c r="B15" s="843" t="s">
        <v>1432</v>
      </c>
      <c r="C15" s="819">
        <v>7130820201</v>
      </c>
      <c r="D15" s="711" t="s">
        <v>19</v>
      </c>
      <c r="E15" s="816">
        <f>VLOOKUP(C15,'SOR RATE'!A:D,4,0)</f>
        <v>35.61</v>
      </c>
      <c r="F15" s="711">
        <v>22</v>
      </c>
      <c r="G15" s="816">
        <f>F15*E15</f>
        <v>783.42</v>
      </c>
      <c r="H15" s="711">
        <v>22</v>
      </c>
      <c r="I15" s="816">
        <f>H15*E15</f>
        <v>783.42</v>
      </c>
      <c r="J15" s="711">
        <v>22</v>
      </c>
      <c r="K15" s="816">
        <f>J15*E15</f>
        <v>783.42</v>
      </c>
    </row>
    <row r="16" spans="1:11" ht="15">
      <c r="A16" s="711">
        <v>5</v>
      </c>
      <c r="B16" s="843" t="s">
        <v>1433</v>
      </c>
      <c r="C16" s="819">
        <v>7130820216</v>
      </c>
      <c r="D16" s="711" t="s">
        <v>19</v>
      </c>
      <c r="E16" s="816">
        <f>VLOOKUP(C16,'SOR RATE'!A:D,4,0)</f>
        <v>40.64</v>
      </c>
      <c r="F16" s="711">
        <v>25</v>
      </c>
      <c r="G16" s="816">
        <f>F16*E16</f>
        <v>1016</v>
      </c>
      <c r="H16" s="711">
        <v>25</v>
      </c>
      <c r="I16" s="816">
        <f>H16*E16</f>
        <v>1016</v>
      </c>
      <c r="J16" s="711">
        <v>25</v>
      </c>
      <c r="K16" s="816">
        <f>J16*E16</f>
        <v>1016</v>
      </c>
    </row>
    <row r="17" spans="1:11" ht="15.75">
      <c r="A17" s="1117">
        <v>6</v>
      </c>
      <c r="B17" s="866" t="s">
        <v>1399</v>
      </c>
      <c r="C17" s="757"/>
      <c r="D17" s="758"/>
      <c r="E17" s="758"/>
      <c r="F17" s="758"/>
      <c r="G17" s="758"/>
      <c r="H17" s="758"/>
      <c r="I17" s="758"/>
      <c r="J17" s="758"/>
      <c r="K17" s="759"/>
    </row>
    <row r="18" spans="1:11" ht="15">
      <c r="A18" s="1118"/>
      <c r="B18" s="843" t="s">
        <v>1400</v>
      </c>
      <c r="C18" s="819">
        <v>7130830057</v>
      </c>
      <c r="D18" s="705" t="s">
        <v>980</v>
      </c>
      <c r="E18" s="816">
        <f>VLOOKUP(C18,'SOR RATE'!A:D,4,0)/1000</f>
        <v>33.94858</v>
      </c>
      <c r="F18" s="711">
        <v>1030</v>
      </c>
      <c r="G18" s="816">
        <f aca="true" t="shared" si="0" ref="G18:G24">F18*E18</f>
        <v>34967.0374</v>
      </c>
      <c r="H18" s="869" t="s">
        <v>902</v>
      </c>
      <c r="I18" s="816"/>
      <c r="J18" s="869" t="s">
        <v>902</v>
      </c>
      <c r="K18" s="816"/>
    </row>
    <row r="19" spans="1:11" ht="15">
      <c r="A19" s="1118"/>
      <c r="B19" s="843" t="s">
        <v>1401</v>
      </c>
      <c r="C19" s="819">
        <v>7130830055</v>
      </c>
      <c r="D19" s="705" t="s">
        <v>980</v>
      </c>
      <c r="E19" s="816">
        <f>VLOOKUP(C19,'SOR RATE'!A:D,4,0)/1000</f>
        <v>20.60463</v>
      </c>
      <c r="F19" s="711">
        <v>1030</v>
      </c>
      <c r="G19" s="816">
        <f t="shared" si="0"/>
        <v>21222.7689</v>
      </c>
      <c r="H19" s="309">
        <v>2060</v>
      </c>
      <c r="I19" s="816">
        <f aca="true" t="shared" si="1" ref="I19:I24">H19*E19</f>
        <v>42445.5378</v>
      </c>
      <c r="J19" s="869" t="s">
        <v>902</v>
      </c>
      <c r="K19" s="816"/>
    </row>
    <row r="20" spans="1:11" ht="15">
      <c r="A20" s="1119"/>
      <c r="B20" s="843" t="s">
        <v>1402</v>
      </c>
      <c r="C20" s="819">
        <v>7130830053</v>
      </c>
      <c r="D20" s="705" t="s">
        <v>980</v>
      </c>
      <c r="E20" s="816">
        <f>VLOOKUP(C20,'SOR RATE'!A:D,4,0)/1000</f>
        <v>14.0663</v>
      </c>
      <c r="F20" s="711">
        <v>1030</v>
      </c>
      <c r="G20" s="816">
        <f t="shared" si="0"/>
        <v>14488.289</v>
      </c>
      <c r="H20" s="871">
        <v>1030</v>
      </c>
      <c r="I20" s="816">
        <f t="shared" si="1"/>
        <v>14488.289</v>
      </c>
      <c r="J20" s="871">
        <v>3090</v>
      </c>
      <c r="K20" s="816">
        <f>J20*E20</f>
        <v>43464.867</v>
      </c>
    </row>
    <row r="21" spans="1:11" ht="15">
      <c r="A21" s="1117">
        <v>7</v>
      </c>
      <c r="B21" s="843" t="s">
        <v>1350</v>
      </c>
      <c r="C21" s="819">
        <v>7130860032</v>
      </c>
      <c r="D21" s="705" t="s">
        <v>19</v>
      </c>
      <c r="E21" s="816">
        <f>VLOOKUP(C21,'SOR RATE'!A:D,4,0)</f>
        <v>441.23</v>
      </c>
      <c r="F21" s="711">
        <v>9</v>
      </c>
      <c r="G21" s="816">
        <f t="shared" si="0"/>
        <v>3971.07</v>
      </c>
      <c r="H21" s="711">
        <v>9</v>
      </c>
      <c r="I21" s="816">
        <f t="shared" si="1"/>
        <v>3971.07</v>
      </c>
      <c r="J21" s="711">
        <v>9</v>
      </c>
      <c r="K21" s="816">
        <f>J21*E21</f>
        <v>3971.07</v>
      </c>
    </row>
    <row r="22" spans="1:11" ht="15">
      <c r="A22" s="1118"/>
      <c r="B22" s="843" t="s">
        <v>1403</v>
      </c>
      <c r="C22" s="819">
        <v>7130860077</v>
      </c>
      <c r="D22" s="705" t="s">
        <v>907</v>
      </c>
      <c r="E22" s="816">
        <f>VLOOKUP(C22,'SOR RATE'!A:D,4,0)/1000</f>
        <v>70.43964</v>
      </c>
      <c r="F22" s="705">
        <v>54</v>
      </c>
      <c r="G22" s="816">
        <f t="shared" si="0"/>
        <v>3803.7405599999997</v>
      </c>
      <c r="H22" s="705">
        <v>54</v>
      </c>
      <c r="I22" s="816">
        <f t="shared" si="1"/>
        <v>3803.7405599999997</v>
      </c>
      <c r="J22" s="705">
        <v>54</v>
      </c>
      <c r="K22" s="816">
        <f>J22*E22</f>
        <v>3803.7405599999997</v>
      </c>
    </row>
    <row r="23" spans="1:11" ht="15">
      <c r="A23" s="1118"/>
      <c r="B23" s="843" t="s">
        <v>1355</v>
      </c>
      <c r="C23" s="819">
        <v>7130810026</v>
      </c>
      <c r="D23" s="870" t="s">
        <v>745</v>
      </c>
      <c r="E23" s="816">
        <f>VLOOKUP(C23,'SOR RATE'!A182:D182,4,0)</f>
        <v>155.99</v>
      </c>
      <c r="F23" s="705">
        <v>9</v>
      </c>
      <c r="G23" s="816">
        <f t="shared" si="0"/>
        <v>1403.91</v>
      </c>
      <c r="H23" s="705">
        <v>9</v>
      </c>
      <c r="I23" s="816">
        <f t="shared" si="1"/>
        <v>1403.91</v>
      </c>
      <c r="J23" s="705">
        <v>9</v>
      </c>
      <c r="K23" s="816">
        <f>J23*E23</f>
        <v>1403.91</v>
      </c>
    </row>
    <row r="24" spans="1:11" ht="15">
      <c r="A24" s="1119"/>
      <c r="B24" s="843" t="s">
        <v>1404</v>
      </c>
      <c r="C24" s="819">
        <v>7130820117</v>
      </c>
      <c r="D24" s="705" t="s">
        <v>19</v>
      </c>
      <c r="E24" s="816">
        <f>VLOOKUP(C24,'SOR RATE'!A:D,4,0)</f>
        <v>10.78</v>
      </c>
      <c r="F24" s="705">
        <v>9</v>
      </c>
      <c r="G24" s="816">
        <f t="shared" si="0"/>
        <v>97.02</v>
      </c>
      <c r="H24" s="705">
        <v>9</v>
      </c>
      <c r="I24" s="816">
        <f t="shared" si="1"/>
        <v>97.02</v>
      </c>
      <c r="J24" s="705">
        <v>9</v>
      </c>
      <c r="K24" s="816">
        <f>J24*E24</f>
        <v>97.02</v>
      </c>
    </row>
    <row r="25" spans="1:11" ht="50.25" customHeight="1">
      <c r="A25" s="1117">
        <v>8</v>
      </c>
      <c r="B25" s="820" t="s">
        <v>1766</v>
      </c>
      <c r="D25" s="713"/>
      <c r="E25" s="872"/>
      <c r="F25" s="705">
        <f>17+9</f>
        <v>26</v>
      </c>
      <c r="G25" s="872"/>
      <c r="H25" s="705">
        <f>17+9</f>
        <v>26</v>
      </c>
      <c r="I25" s="872"/>
      <c r="J25" s="705">
        <f>17+9</f>
        <v>26</v>
      </c>
      <c r="K25" s="872"/>
    </row>
    <row r="26" spans="1:13" ht="21.75" customHeight="1">
      <c r="A26" s="1119"/>
      <c r="B26" s="844" t="s">
        <v>1758</v>
      </c>
      <c r="C26" s="819">
        <v>7130640008</v>
      </c>
      <c r="D26" s="614" t="s">
        <v>926</v>
      </c>
      <c r="E26" s="706">
        <f>VLOOKUP(C26,'SOR RATE'!A:D,4,0)</f>
        <v>158</v>
      </c>
      <c r="F26" s="705">
        <f>17+(9*2)</f>
        <v>35</v>
      </c>
      <c r="G26" s="816">
        <f>F26*E26</f>
        <v>5530</v>
      </c>
      <c r="H26" s="705">
        <f>17+(9*2)</f>
        <v>35</v>
      </c>
      <c r="I26" s="816">
        <f>H26*E26</f>
        <v>5530</v>
      </c>
      <c r="J26" s="705">
        <f>17+(9*2)</f>
        <v>35</v>
      </c>
      <c r="K26" s="816">
        <f>J26*E26</f>
        <v>5530</v>
      </c>
      <c r="L26" s="608" t="s">
        <v>1718</v>
      </c>
      <c r="M26" s="608" t="s">
        <v>1886</v>
      </c>
    </row>
    <row r="27" spans="1:11" ht="30">
      <c r="A27" s="849">
        <v>9</v>
      </c>
      <c r="B27" s="716" t="s">
        <v>1407</v>
      </c>
      <c r="C27" s="819">
        <v>7130870013</v>
      </c>
      <c r="D27" s="849" t="s">
        <v>19</v>
      </c>
      <c r="E27" s="816">
        <f>VLOOKUP(C27,'SOR RATE'!A:D,4,0)</f>
        <v>114.85</v>
      </c>
      <c r="F27" s="849">
        <v>5</v>
      </c>
      <c r="G27" s="816">
        <f>F27*E27</f>
        <v>574.25</v>
      </c>
      <c r="H27" s="849">
        <v>5</v>
      </c>
      <c r="I27" s="816">
        <f>H27*E27</f>
        <v>574.25</v>
      </c>
      <c r="J27" s="849">
        <v>5</v>
      </c>
      <c r="K27" s="816">
        <f>J27*E27</f>
        <v>574.25</v>
      </c>
    </row>
    <row r="28" spans="1:11" ht="15">
      <c r="A28" s="711">
        <v>10</v>
      </c>
      <c r="B28" s="843" t="s">
        <v>1434</v>
      </c>
      <c r="C28" s="819">
        <v>7130820018</v>
      </c>
      <c r="D28" s="711" t="s">
        <v>745</v>
      </c>
      <c r="E28" s="816">
        <f>VLOOKUP(C28,'SOR RATE'!A:D,4,0)</f>
        <v>4.05</v>
      </c>
      <c r="F28" s="711">
        <v>44</v>
      </c>
      <c r="G28" s="816">
        <f>F28*E28</f>
        <v>178.2</v>
      </c>
      <c r="H28" s="711">
        <v>44</v>
      </c>
      <c r="I28" s="816">
        <f>H28*E28</f>
        <v>178.2</v>
      </c>
      <c r="J28" s="711">
        <v>44</v>
      </c>
      <c r="K28" s="816">
        <f>J28*E28</f>
        <v>178.2</v>
      </c>
    </row>
    <row r="29" spans="1:11" ht="15">
      <c r="A29" s="1117">
        <v>11</v>
      </c>
      <c r="B29" s="843" t="s">
        <v>908</v>
      </c>
      <c r="C29" s="821"/>
      <c r="D29" s="711" t="s">
        <v>907</v>
      </c>
      <c r="E29" s="816"/>
      <c r="F29" s="711">
        <v>16</v>
      </c>
      <c r="G29" s="816"/>
      <c r="H29" s="711">
        <v>16</v>
      </c>
      <c r="I29" s="816"/>
      <c r="J29" s="711">
        <v>16</v>
      </c>
      <c r="K29" s="816"/>
    </row>
    <row r="30" spans="1:11" ht="15">
      <c r="A30" s="1118"/>
      <c r="B30" s="829" t="s">
        <v>306</v>
      </c>
      <c r="C30" s="819">
        <v>7130620573</v>
      </c>
      <c r="D30" s="711" t="s">
        <v>907</v>
      </c>
      <c r="E30" s="816">
        <f>VLOOKUP(C30,'SOR RATE'!A:D,4,0)</f>
        <v>69.38</v>
      </c>
      <c r="F30" s="711">
        <v>3.5</v>
      </c>
      <c r="G30" s="816">
        <f aca="true" t="shared" si="2" ref="G30:G36">F30*E30</f>
        <v>242.82999999999998</v>
      </c>
      <c r="H30" s="711">
        <v>3.5</v>
      </c>
      <c r="I30" s="816">
        <f aca="true" t="shared" si="3" ref="I30:I36">H30*E30</f>
        <v>242.82999999999998</v>
      </c>
      <c r="J30" s="711">
        <v>3.5</v>
      </c>
      <c r="K30" s="816">
        <f aca="true" t="shared" si="4" ref="K30:K36">J30*E30</f>
        <v>242.82999999999998</v>
      </c>
    </row>
    <row r="31" spans="1:11" ht="15">
      <c r="A31" s="1118"/>
      <c r="B31" s="829" t="s">
        <v>13</v>
      </c>
      <c r="C31" s="819">
        <v>7130620609</v>
      </c>
      <c r="D31" s="711" t="s">
        <v>907</v>
      </c>
      <c r="E31" s="816">
        <f>VLOOKUP(C31,'SOR RATE'!A:D,4,0)</f>
        <v>69.38</v>
      </c>
      <c r="F31" s="711">
        <v>1.5</v>
      </c>
      <c r="G31" s="816">
        <f t="shared" si="2"/>
        <v>104.07</v>
      </c>
      <c r="H31" s="711">
        <v>1.5</v>
      </c>
      <c r="I31" s="816">
        <f t="shared" si="3"/>
        <v>104.07</v>
      </c>
      <c r="J31" s="711">
        <v>1.5</v>
      </c>
      <c r="K31" s="816">
        <f t="shared" si="4"/>
        <v>104.07</v>
      </c>
    </row>
    <row r="32" spans="1:11" ht="15" customHeight="1">
      <c r="A32" s="1119"/>
      <c r="B32" s="829" t="s">
        <v>1228</v>
      </c>
      <c r="C32" s="819">
        <v>7130620625</v>
      </c>
      <c r="D32" s="711" t="s">
        <v>907</v>
      </c>
      <c r="E32" s="816">
        <f>VLOOKUP(C32,'SOR RATE'!A:D,4,0)</f>
        <v>67.06</v>
      </c>
      <c r="F32" s="711">
        <v>11</v>
      </c>
      <c r="G32" s="816">
        <f t="shared" si="2"/>
        <v>737.6600000000001</v>
      </c>
      <c r="H32" s="711">
        <v>11</v>
      </c>
      <c r="I32" s="816">
        <f t="shared" si="3"/>
        <v>737.6600000000001</v>
      </c>
      <c r="J32" s="711">
        <v>11</v>
      </c>
      <c r="K32" s="816">
        <f t="shared" si="4"/>
        <v>737.6600000000001</v>
      </c>
    </row>
    <row r="33" spans="1:11" ht="15">
      <c r="A33" s="711">
        <v>12</v>
      </c>
      <c r="B33" s="843" t="s">
        <v>1357</v>
      </c>
      <c r="C33" s="819">
        <v>7130830006</v>
      </c>
      <c r="D33" s="711" t="s">
        <v>907</v>
      </c>
      <c r="E33" s="816">
        <f>VLOOKUP(C33,'SOR RATE'!A:D,4,0)</f>
        <v>155.45</v>
      </c>
      <c r="F33" s="711">
        <v>3.5</v>
      </c>
      <c r="G33" s="816">
        <f t="shared" si="2"/>
        <v>544.0749999999999</v>
      </c>
      <c r="H33" s="711">
        <v>3.5</v>
      </c>
      <c r="I33" s="816">
        <f t="shared" si="3"/>
        <v>544.0749999999999</v>
      </c>
      <c r="J33" s="711">
        <v>3.5</v>
      </c>
      <c r="K33" s="816">
        <f t="shared" si="4"/>
        <v>544.0749999999999</v>
      </c>
    </row>
    <row r="34" spans="1:11" ht="15">
      <c r="A34" s="711">
        <v>13</v>
      </c>
      <c r="B34" s="843" t="s">
        <v>906</v>
      </c>
      <c r="C34" s="819">
        <v>7130210809</v>
      </c>
      <c r="D34" s="711" t="s">
        <v>905</v>
      </c>
      <c r="E34" s="816">
        <f>VLOOKUP(C34,'SOR RATE'!A:D,4,0)</f>
        <v>327.94</v>
      </c>
      <c r="F34" s="711">
        <v>1.5</v>
      </c>
      <c r="G34" s="816">
        <f t="shared" si="2"/>
        <v>491.90999999999997</v>
      </c>
      <c r="H34" s="711">
        <v>1.5</v>
      </c>
      <c r="I34" s="816">
        <f t="shared" si="3"/>
        <v>491.90999999999997</v>
      </c>
      <c r="J34" s="711">
        <v>1.5</v>
      </c>
      <c r="K34" s="816">
        <f t="shared" si="4"/>
        <v>491.90999999999997</v>
      </c>
    </row>
    <row r="35" spans="1:11" ht="15">
      <c r="A35" s="711">
        <v>14</v>
      </c>
      <c r="B35" s="843" t="s">
        <v>1356</v>
      </c>
      <c r="C35" s="819">
        <v>7130211158</v>
      </c>
      <c r="D35" s="711" t="s">
        <v>905</v>
      </c>
      <c r="E35" s="816">
        <f>VLOOKUP(C35,'SOR RATE'!A:D,4,0)</f>
        <v>146.77</v>
      </c>
      <c r="F35" s="711">
        <v>1.5</v>
      </c>
      <c r="G35" s="816">
        <f t="shared" si="2"/>
        <v>220.15500000000003</v>
      </c>
      <c r="H35" s="711">
        <v>1.5</v>
      </c>
      <c r="I35" s="816">
        <f t="shared" si="3"/>
        <v>220.15500000000003</v>
      </c>
      <c r="J35" s="711">
        <v>1.5</v>
      </c>
      <c r="K35" s="816">
        <f t="shared" si="4"/>
        <v>220.15500000000003</v>
      </c>
    </row>
    <row r="36" spans="1:11" ht="15">
      <c r="A36" s="711">
        <v>15</v>
      </c>
      <c r="B36" s="843" t="s">
        <v>1435</v>
      </c>
      <c r="C36" s="819">
        <v>7130870043</v>
      </c>
      <c r="D36" s="711" t="s">
        <v>907</v>
      </c>
      <c r="E36" s="816">
        <f>VLOOKUP(C36,'SOR RATE'!A:D,4,0)/1000</f>
        <v>62.99996</v>
      </c>
      <c r="F36" s="711">
        <v>6</v>
      </c>
      <c r="G36" s="816">
        <f t="shared" si="2"/>
        <v>377.99976000000004</v>
      </c>
      <c r="H36" s="711">
        <v>6</v>
      </c>
      <c r="I36" s="816">
        <f t="shared" si="3"/>
        <v>377.99976000000004</v>
      </c>
      <c r="J36" s="711">
        <v>6</v>
      </c>
      <c r="K36" s="816">
        <f t="shared" si="4"/>
        <v>377.99976000000004</v>
      </c>
    </row>
    <row r="37" spans="1:13" ht="18.75" customHeight="1">
      <c r="A37" s="547">
        <v>16</v>
      </c>
      <c r="B37" s="703" t="s">
        <v>566</v>
      </c>
      <c r="C37" s="547"/>
      <c r="D37" s="547"/>
      <c r="E37" s="547"/>
      <c r="F37" s="547"/>
      <c r="G37" s="712">
        <f>SUM(G12:G36)</f>
        <v>143381.80562000003</v>
      </c>
      <c r="H37" s="712"/>
      <c r="I37" s="712">
        <f>SUM(I12:I36)</f>
        <v>129637.53712000004</v>
      </c>
      <c r="J37" s="712"/>
      <c r="K37" s="712">
        <f>SUM(K12:K36)</f>
        <v>116168.57732000003</v>
      </c>
      <c r="L37" s="307"/>
      <c r="M37" s="3"/>
    </row>
    <row r="38" spans="1:13" ht="22.5" customHeight="1">
      <c r="A38" s="849">
        <v>17</v>
      </c>
      <c r="B38" s="701" t="s">
        <v>565</v>
      </c>
      <c r="C38" s="866"/>
      <c r="D38" s="867"/>
      <c r="E38" s="711">
        <v>0.09</v>
      </c>
      <c r="F38" s="711"/>
      <c r="G38" s="816">
        <f>G37*E38</f>
        <v>12904.362505800002</v>
      </c>
      <c r="H38" s="816"/>
      <c r="I38" s="816">
        <f>I37*E38</f>
        <v>11667.378340800004</v>
      </c>
      <c r="J38" s="816"/>
      <c r="K38" s="816">
        <f>K37*E38</f>
        <v>10455.171958800001</v>
      </c>
      <c r="L38" s="307"/>
      <c r="M38" s="49"/>
    </row>
    <row r="39" spans="1:12" ht="33.75" customHeight="1">
      <c r="A39" s="624">
        <v>18</v>
      </c>
      <c r="B39" s="710" t="s">
        <v>1425</v>
      </c>
      <c r="C39" s="624"/>
      <c r="D39" s="624" t="s">
        <v>19</v>
      </c>
      <c r="E39" s="2">
        <f>97*1.11*1.086275*1.1112*1.0685*1.06217*1.059*1.2778</f>
        <v>199.5970562453939</v>
      </c>
      <c r="F39" s="624">
        <v>17</v>
      </c>
      <c r="G39" s="2">
        <f>F39*E39</f>
        <v>3393.1499561716964</v>
      </c>
      <c r="H39" s="624">
        <v>17</v>
      </c>
      <c r="I39" s="2">
        <f>H39*E39</f>
        <v>3393.1499561716964</v>
      </c>
      <c r="J39" s="624">
        <v>17</v>
      </c>
      <c r="K39" s="2">
        <f>J39*E39</f>
        <v>3393.1499561716964</v>
      </c>
      <c r="L39" s="307"/>
    </row>
    <row r="40" spans="1:12" ht="21" customHeight="1">
      <c r="A40" s="624">
        <v>19</v>
      </c>
      <c r="B40" s="710" t="s">
        <v>1410</v>
      </c>
      <c r="C40" s="624"/>
      <c r="D40" s="624"/>
      <c r="E40" s="2"/>
      <c r="F40" s="624"/>
      <c r="G40" s="2">
        <v>47449.03</v>
      </c>
      <c r="H40" s="624"/>
      <c r="I40" s="2">
        <f>+G40</f>
        <v>47449.03</v>
      </c>
      <c r="J40" s="624"/>
      <c r="K40" s="2">
        <f>+I40</f>
        <v>47449.03</v>
      </c>
      <c r="L40" s="307"/>
    </row>
    <row r="41" spans="1:14" ht="64.5" customHeight="1">
      <c r="A41" s="624">
        <v>20</v>
      </c>
      <c r="B41" s="710" t="s">
        <v>1427</v>
      </c>
      <c r="C41" s="624"/>
      <c r="D41" s="624"/>
      <c r="E41" s="2"/>
      <c r="F41" s="624"/>
      <c r="G41" s="311">
        <f>(11144.55*1.88%)+11144.55</f>
        <v>11354.06754</v>
      </c>
      <c r="H41" s="624"/>
      <c r="I41" s="311">
        <f>(11144.55*1.88%)+11144.55</f>
        <v>11354.06754</v>
      </c>
      <c r="J41" s="624"/>
      <c r="K41" s="706">
        <f>(11144.55*1.88%)+11144.55</f>
        <v>11354.06754</v>
      </c>
      <c r="L41" s="10"/>
      <c r="M41" s="295"/>
      <c r="N41" s="10"/>
    </row>
    <row r="42" spans="1:12" ht="19.5" customHeight="1">
      <c r="A42" s="516">
        <v>21</v>
      </c>
      <c r="B42" s="703" t="s">
        <v>567</v>
      </c>
      <c r="C42" s="624"/>
      <c r="D42" s="624"/>
      <c r="E42" s="2"/>
      <c r="F42" s="624"/>
      <c r="G42" s="518">
        <f>SUM(G37:G41)</f>
        <v>218482.4156219717</v>
      </c>
      <c r="H42" s="516"/>
      <c r="I42" s="518">
        <f>SUM(I37:I41)</f>
        <v>203501.16295697173</v>
      </c>
      <c r="J42" s="516"/>
      <c r="K42" s="518">
        <f>SUM(K37:K41)</f>
        <v>188819.9967749717</v>
      </c>
      <c r="L42" s="307"/>
    </row>
    <row r="43" spans="1:12" ht="50.25" customHeight="1">
      <c r="A43" s="624">
        <v>22</v>
      </c>
      <c r="B43" s="707" t="s">
        <v>1747</v>
      </c>
      <c r="C43" s="624"/>
      <c r="D43" s="624"/>
      <c r="E43" s="708">
        <v>0.125</v>
      </c>
      <c r="F43" s="624"/>
      <c r="G43" s="2">
        <f>G37*E43</f>
        <v>17922.725702500004</v>
      </c>
      <c r="H43" s="624"/>
      <c r="I43" s="2">
        <f>I37*E43</f>
        <v>16204.692140000005</v>
      </c>
      <c r="J43" s="624"/>
      <c r="K43" s="2">
        <f>K37*E43</f>
        <v>14521.072165000003</v>
      </c>
      <c r="L43" s="570"/>
    </row>
    <row r="44" spans="1:12" ht="30">
      <c r="A44" s="624">
        <v>23</v>
      </c>
      <c r="B44" s="710" t="s">
        <v>1411</v>
      </c>
      <c r="C44" s="624"/>
      <c r="D44" s="624"/>
      <c r="E44" s="2"/>
      <c r="F44" s="624"/>
      <c r="G44" s="2">
        <f>G42+G43</f>
        <v>236405.1413244717</v>
      </c>
      <c r="H44" s="2"/>
      <c r="I44" s="2">
        <f>I42+I43</f>
        <v>219705.85509697173</v>
      </c>
      <c r="J44" s="2"/>
      <c r="K44" s="2">
        <f>K42+K43</f>
        <v>203341.06893997168</v>
      </c>
      <c r="L44" s="307"/>
    </row>
    <row r="45" spans="1:12" ht="34.5" customHeight="1">
      <c r="A45" s="516">
        <v>24</v>
      </c>
      <c r="B45" s="717" t="s">
        <v>1412</v>
      </c>
      <c r="C45" s="516"/>
      <c r="D45" s="516"/>
      <c r="E45" s="518"/>
      <c r="F45" s="516"/>
      <c r="G45" s="712">
        <f>ROUND(G44,0)</f>
        <v>236405</v>
      </c>
      <c r="H45" s="516"/>
      <c r="I45" s="712">
        <f>ROUND(I44,0)</f>
        <v>219706</v>
      </c>
      <c r="J45" s="516"/>
      <c r="K45" s="712">
        <f>ROUND(K44,0)</f>
        <v>203341</v>
      </c>
      <c r="L45" s="307"/>
    </row>
    <row r="46" spans="1:11" ht="15">
      <c r="A46" s="5"/>
      <c r="B46" s="4"/>
      <c r="C46" s="4"/>
      <c r="D46" s="4"/>
      <c r="E46" s="4"/>
      <c r="F46" s="4"/>
      <c r="G46" s="4"/>
      <c r="H46" s="4"/>
      <c r="I46" s="4"/>
      <c r="J46" s="4"/>
      <c r="K46" s="4"/>
    </row>
    <row r="47" spans="1:11" ht="15.75">
      <c r="A47" s="310" t="s">
        <v>36</v>
      </c>
      <c r="B47" s="351" t="s">
        <v>37</v>
      </c>
      <c r="C47" s="351"/>
      <c r="D47" s="351"/>
      <c r="E47" s="351"/>
      <c r="F47" s="351"/>
      <c r="G47" s="355"/>
      <c r="H47" s="4"/>
      <c r="I47" s="4"/>
      <c r="J47" s="4"/>
      <c r="K47" s="4"/>
    </row>
    <row r="48" spans="1:11" ht="18">
      <c r="A48" s="495" t="s">
        <v>982</v>
      </c>
      <c r="B48" s="52" t="s">
        <v>1749</v>
      </c>
      <c r="C48" s="3"/>
      <c r="D48" s="3"/>
      <c r="E48" s="3"/>
      <c r="F48" s="3"/>
      <c r="G48" s="3"/>
      <c r="H48" s="3"/>
      <c r="I48" s="3"/>
      <c r="J48" s="3"/>
      <c r="K48" s="3"/>
    </row>
  </sheetData>
  <sheetProtection/>
  <mergeCells count="14">
    <mergeCell ref="J7:K9"/>
    <mergeCell ref="A17:A20"/>
    <mergeCell ref="A21:A24"/>
    <mergeCell ref="A25:A26"/>
    <mergeCell ref="A29:A32"/>
    <mergeCell ref="C1:H1"/>
    <mergeCell ref="B3:I3"/>
    <mergeCell ref="A7:A10"/>
    <mergeCell ref="B7:B10"/>
    <mergeCell ref="C7:C10"/>
    <mergeCell ref="D7:D10"/>
    <mergeCell ref="E7:E10"/>
    <mergeCell ref="F7:G9"/>
    <mergeCell ref="H7:I9"/>
  </mergeCells>
  <conditionalFormatting sqref="B37:B38">
    <cfRule type="cellIs" priority="1" dxfId="0" operator="equal" stopIfTrue="1">
      <formula>"?"</formula>
    </cfRule>
  </conditionalFormatting>
  <printOptions gridLines="1" horizontalCentered="1"/>
  <pageMargins left="0.78" right="0.13" top="0.64" bottom="0.23" header="0.34" footer="0.14"/>
  <pageSetup fitToHeight="2" horizontalDpi="600" verticalDpi="600" orientation="landscape" paperSize="9" scale="92" r:id="rId3"/>
  <rowBreaks count="1" manualBreakCount="1">
    <brk id="31" max="255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8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J39" sqref="J39"/>
    </sheetView>
  </sheetViews>
  <sheetFormatPr defaultColWidth="9.140625" defaultRowHeight="12.75"/>
  <cols>
    <col min="1" max="1" width="4.8515625" style="540" customWidth="1"/>
    <col min="2" max="2" width="51.7109375" style="1" customWidth="1"/>
    <col min="3" max="3" width="16.28125" style="7" customWidth="1"/>
    <col min="4" max="4" width="7.7109375" style="1" customWidth="1"/>
    <col min="5" max="5" width="11.28125" style="1" bestFit="1" customWidth="1"/>
    <col min="6" max="6" width="10.421875" style="1" customWidth="1"/>
    <col min="7" max="7" width="19.7109375" style="1" customWidth="1"/>
    <col min="8" max="8" width="10.57421875" style="1" customWidth="1"/>
    <col min="9" max="9" width="19.57421875" style="1" customWidth="1"/>
    <col min="10" max="10" width="19.00390625" style="1" customWidth="1"/>
    <col min="11" max="11" width="11.28125" style="1" customWidth="1"/>
    <col min="12" max="16384" width="9.140625" style="1" customWidth="1"/>
  </cols>
  <sheetData>
    <row r="1" spans="2:9" ht="18">
      <c r="B1" s="30"/>
      <c r="C1" s="1066" t="s">
        <v>1436</v>
      </c>
      <c r="D1" s="1066"/>
      <c r="E1" s="1066"/>
      <c r="F1" s="1066"/>
      <c r="G1" s="30"/>
      <c r="H1" s="30"/>
      <c r="I1" s="30"/>
    </row>
    <row r="2" spans="1:9" ht="18">
      <c r="A2" s="542"/>
      <c r="B2" s="542"/>
      <c r="C2" s="542"/>
      <c r="D2" s="542"/>
      <c r="E2" s="542"/>
      <c r="F2" s="542"/>
      <c r="G2" s="542"/>
      <c r="H2" s="1096" t="s">
        <v>1823</v>
      </c>
      <c r="I2" s="1096"/>
    </row>
    <row r="3" spans="2:9" ht="18.75" customHeight="1">
      <c r="B3" s="1069" t="s">
        <v>1437</v>
      </c>
      <c r="C3" s="1069"/>
      <c r="D3" s="1069"/>
      <c r="E3" s="1069"/>
      <c r="F3" s="1069"/>
      <c r="G3" s="1069"/>
      <c r="H3" s="1069"/>
      <c r="I3" s="69"/>
    </row>
    <row r="4" spans="1:10" ht="15.75">
      <c r="A4" s="17"/>
      <c r="B4" s="17"/>
      <c r="C4" s="17"/>
      <c r="D4" s="17"/>
      <c r="E4" s="36"/>
      <c r="F4" s="36"/>
      <c r="G4" s="36"/>
      <c r="H4" s="36"/>
      <c r="I4" s="36"/>
      <c r="J4" s="36"/>
    </row>
    <row r="5" spans="1:9" ht="96.75" customHeight="1">
      <c r="A5" s="1077" t="s">
        <v>1225</v>
      </c>
      <c r="B5" s="1115" t="s">
        <v>16</v>
      </c>
      <c r="C5" s="1077" t="s">
        <v>1389</v>
      </c>
      <c r="D5" s="1115" t="s">
        <v>17</v>
      </c>
      <c r="E5" s="1115" t="s">
        <v>746</v>
      </c>
      <c r="F5" s="1127" t="s">
        <v>1438</v>
      </c>
      <c r="G5" s="1128"/>
      <c r="H5" s="1127" t="s">
        <v>1762</v>
      </c>
      <c r="I5" s="1128"/>
    </row>
    <row r="6" spans="1:9" ht="18.75" customHeight="1">
      <c r="A6" s="1078"/>
      <c r="B6" s="1116"/>
      <c r="C6" s="1078"/>
      <c r="D6" s="1116"/>
      <c r="E6" s="1116"/>
      <c r="F6" s="547" t="s">
        <v>18</v>
      </c>
      <c r="G6" s="547" t="s">
        <v>1176</v>
      </c>
      <c r="H6" s="547" t="s">
        <v>18</v>
      </c>
      <c r="I6" s="547" t="s">
        <v>1176</v>
      </c>
    </row>
    <row r="7" spans="1:9" ht="15.75">
      <c r="A7" s="354" t="s">
        <v>910</v>
      </c>
      <c r="B7" s="354" t="s">
        <v>911</v>
      </c>
      <c r="C7" s="354" t="s">
        <v>912</v>
      </c>
      <c r="D7" s="354" t="s">
        <v>1368</v>
      </c>
      <c r="E7" s="354" t="s">
        <v>1369</v>
      </c>
      <c r="F7" s="354" t="s">
        <v>913</v>
      </c>
      <c r="G7" s="354" t="s">
        <v>1418</v>
      </c>
      <c r="H7" s="354" t="s">
        <v>1419</v>
      </c>
      <c r="I7" s="354" t="s">
        <v>1370</v>
      </c>
    </row>
    <row r="8" spans="1:9" ht="37.5" customHeight="1">
      <c r="A8" s="1110">
        <v>1</v>
      </c>
      <c r="B8" s="739" t="s">
        <v>1439</v>
      </c>
      <c r="C8" s="819">
        <v>7130600635</v>
      </c>
      <c r="D8" s="705" t="s">
        <v>907</v>
      </c>
      <c r="E8" s="816">
        <f>VLOOKUP(C8,'SOR RATE'!A:D,4,0)/1000</f>
        <v>39.50514</v>
      </c>
      <c r="F8" s="705">
        <v>2700.28</v>
      </c>
      <c r="G8" s="706">
        <f>F8*E8</f>
        <v>106674.9394392</v>
      </c>
      <c r="H8" s="817" t="s">
        <v>902</v>
      </c>
      <c r="I8" s="817" t="s">
        <v>902</v>
      </c>
    </row>
    <row r="9" spans="1:9" ht="48.75" customHeight="1">
      <c r="A9" s="1112"/>
      <c r="B9" s="739" t="s">
        <v>1440</v>
      </c>
      <c r="C9" s="819">
        <v>7130600675</v>
      </c>
      <c r="D9" s="705" t="s">
        <v>907</v>
      </c>
      <c r="E9" s="816">
        <f>VLOOKUP(C9,'SOR RATE'!A:D,4,0)/1000</f>
        <v>44.915519999999994</v>
      </c>
      <c r="F9" s="817" t="s">
        <v>902</v>
      </c>
      <c r="G9" s="817" t="s">
        <v>902</v>
      </c>
      <c r="H9" s="705">
        <v>2719.55</v>
      </c>
      <c r="I9" s="818">
        <f>H9*E9</f>
        <v>122150.00241599999</v>
      </c>
    </row>
    <row r="10" spans="1:9" ht="19.5" customHeight="1">
      <c r="A10" s="705">
        <v>2</v>
      </c>
      <c r="B10" s="844" t="s">
        <v>1441</v>
      </c>
      <c r="C10" s="873">
        <v>7130810461</v>
      </c>
      <c r="D10" s="705" t="s">
        <v>19</v>
      </c>
      <c r="E10" s="816">
        <f>VLOOKUP(C10,'SOR RATE'!A:D,4,0)</f>
        <v>862.11</v>
      </c>
      <c r="F10" s="705">
        <v>27</v>
      </c>
      <c r="G10" s="706">
        <f>F10*E10</f>
        <v>23276.97</v>
      </c>
      <c r="H10" s="705">
        <v>20</v>
      </c>
      <c r="I10" s="818">
        <f>H10*E10</f>
        <v>17242.2</v>
      </c>
    </row>
    <row r="11" spans="1:9" ht="33" customHeight="1">
      <c r="A11" s="742">
        <v>3</v>
      </c>
      <c r="B11" s="820" t="s">
        <v>1442</v>
      </c>
      <c r="C11" s="873">
        <v>7130820106</v>
      </c>
      <c r="D11" s="705" t="s">
        <v>19</v>
      </c>
      <c r="E11" s="816">
        <f>VLOOKUP(C11,'SOR RATE'!A:D,4,0)</f>
        <v>12.82</v>
      </c>
      <c r="F11" s="705">
        <v>108</v>
      </c>
      <c r="G11" s="706">
        <f>F11*E11</f>
        <v>1384.56</v>
      </c>
      <c r="H11" s="705">
        <v>80</v>
      </c>
      <c r="I11" s="818">
        <f>H11*E11</f>
        <v>1025.6</v>
      </c>
    </row>
    <row r="12" spans="1:9" ht="15">
      <c r="A12" s="705">
        <v>4</v>
      </c>
      <c r="B12" s="844" t="s">
        <v>1397</v>
      </c>
      <c r="C12" s="873">
        <v>7130820216</v>
      </c>
      <c r="D12" s="705" t="s">
        <v>19</v>
      </c>
      <c r="E12" s="816">
        <f>VLOOKUP(C12,'SOR RATE'!A:D,4,0)</f>
        <v>40.64</v>
      </c>
      <c r="F12" s="705">
        <v>35</v>
      </c>
      <c r="G12" s="706">
        <f>F12*E12</f>
        <v>1422.4</v>
      </c>
      <c r="H12" s="705">
        <v>35</v>
      </c>
      <c r="I12" s="818">
        <f>H12*E12</f>
        <v>1422.4</v>
      </c>
    </row>
    <row r="13" spans="1:9" ht="15">
      <c r="A13" s="705">
        <v>5</v>
      </c>
      <c r="B13" s="844" t="s">
        <v>1432</v>
      </c>
      <c r="C13" s="873">
        <v>7130820201</v>
      </c>
      <c r="D13" s="705" t="s">
        <v>19</v>
      </c>
      <c r="E13" s="816">
        <f>VLOOKUP(C13,'SOR RATE'!A:D,4,0)</f>
        <v>35.61</v>
      </c>
      <c r="F13" s="705">
        <v>27</v>
      </c>
      <c r="G13" s="706">
        <f>F13*E13</f>
        <v>961.47</v>
      </c>
      <c r="H13" s="705">
        <v>20</v>
      </c>
      <c r="I13" s="818">
        <f>H13*E13</f>
        <v>712.2</v>
      </c>
    </row>
    <row r="14" spans="1:9" ht="15">
      <c r="A14" s="1129">
        <v>6</v>
      </c>
      <c r="B14" s="850" t="s">
        <v>1399</v>
      </c>
      <c r="C14" s="822"/>
      <c r="D14" s="823"/>
      <c r="E14" s="823"/>
      <c r="F14" s="823"/>
      <c r="G14" s="823"/>
      <c r="H14" s="823"/>
      <c r="I14" s="824"/>
    </row>
    <row r="15" spans="1:9" ht="15">
      <c r="A15" s="1130"/>
      <c r="B15" s="844" t="s">
        <v>1443</v>
      </c>
      <c r="C15" s="873">
        <v>7130830060</v>
      </c>
      <c r="D15" s="705" t="s">
        <v>980</v>
      </c>
      <c r="E15" s="816">
        <f>VLOOKUP(C15,'SOR RATE'!A:D,4,0)/1000</f>
        <v>50.185790000000004</v>
      </c>
      <c r="F15" s="817" t="s">
        <v>902</v>
      </c>
      <c r="G15" s="706"/>
      <c r="H15" s="705">
        <v>3090</v>
      </c>
      <c r="I15" s="818">
        <f>H15*E15</f>
        <v>155074.09110000002</v>
      </c>
    </row>
    <row r="16" spans="1:9" ht="15">
      <c r="A16" s="1130"/>
      <c r="B16" s="844" t="s">
        <v>1444</v>
      </c>
      <c r="C16" s="873">
        <v>7130830057</v>
      </c>
      <c r="D16" s="705" t="s">
        <v>980</v>
      </c>
      <c r="E16" s="816">
        <f>VLOOKUP(C16,'SOR RATE'!A:D,4,0)/1000</f>
        <v>33.94858</v>
      </c>
      <c r="F16" s="705">
        <v>3090</v>
      </c>
      <c r="G16" s="706">
        <f aca="true" t="shared" si="0" ref="G16:G22">F16*E16</f>
        <v>104901.1122</v>
      </c>
      <c r="H16" s="817" t="s">
        <v>902</v>
      </c>
      <c r="I16" s="817"/>
    </row>
    <row r="17" spans="1:9" ht="15">
      <c r="A17" s="1131"/>
      <c r="B17" s="844" t="s">
        <v>1445</v>
      </c>
      <c r="C17" s="873">
        <v>7130830055</v>
      </c>
      <c r="D17" s="705" t="s">
        <v>980</v>
      </c>
      <c r="E17" s="816">
        <f>VLOOKUP(C17,'SOR RATE'!A:D,4,0)/1000</f>
        <v>20.60463</v>
      </c>
      <c r="F17" s="817">
        <v>2060</v>
      </c>
      <c r="G17" s="706">
        <f t="shared" si="0"/>
        <v>42445.5378</v>
      </c>
      <c r="H17" s="705">
        <v>2060</v>
      </c>
      <c r="I17" s="818">
        <f aca="true" t="shared" si="1" ref="I17:I22">H17*E17</f>
        <v>42445.5378</v>
      </c>
    </row>
    <row r="18" spans="1:9" ht="16.5" customHeight="1">
      <c r="A18" s="1117">
        <v>7</v>
      </c>
      <c r="B18" s="843" t="s">
        <v>1350</v>
      </c>
      <c r="C18" s="874">
        <v>7130860032</v>
      </c>
      <c r="D18" s="711" t="s">
        <v>19</v>
      </c>
      <c r="E18" s="816">
        <f>VLOOKUP(C18,'SOR RATE'!A:D,4,0)</f>
        <v>441.23</v>
      </c>
      <c r="F18" s="711">
        <v>12</v>
      </c>
      <c r="G18" s="816">
        <f t="shared" si="0"/>
        <v>5294.76</v>
      </c>
      <c r="H18" s="711">
        <v>12</v>
      </c>
      <c r="I18" s="869">
        <f t="shared" si="1"/>
        <v>5294.76</v>
      </c>
    </row>
    <row r="19" spans="1:9" ht="18" customHeight="1">
      <c r="A19" s="1118"/>
      <c r="B19" s="843" t="s">
        <v>1403</v>
      </c>
      <c r="C19" s="873">
        <v>7130860077</v>
      </c>
      <c r="D19" s="705" t="s">
        <v>907</v>
      </c>
      <c r="E19" s="816">
        <f>VLOOKUP(C19,'SOR RATE'!A:D,4,0)/1000</f>
        <v>70.43964</v>
      </c>
      <c r="F19" s="705">
        <v>72</v>
      </c>
      <c r="G19" s="706">
        <f t="shared" si="0"/>
        <v>5071.65408</v>
      </c>
      <c r="H19" s="705">
        <v>72</v>
      </c>
      <c r="I19" s="818">
        <f t="shared" si="1"/>
        <v>5071.65408</v>
      </c>
    </row>
    <row r="20" spans="1:9" ht="15">
      <c r="A20" s="1119"/>
      <c r="B20" s="843" t="s">
        <v>1355</v>
      </c>
      <c r="C20" s="815">
        <v>7130810026</v>
      </c>
      <c r="D20" s="870" t="s">
        <v>745</v>
      </c>
      <c r="E20" s="816">
        <f>VLOOKUP(C20,'SOR RATE'!A182:D182,4,0)</f>
        <v>155.99</v>
      </c>
      <c r="F20" s="705">
        <v>12</v>
      </c>
      <c r="G20" s="706">
        <f t="shared" si="0"/>
        <v>1871.88</v>
      </c>
      <c r="H20" s="705">
        <v>12</v>
      </c>
      <c r="I20" s="818">
        <f t="shared" si="1"/>
        <v>1871.88</v>
      </c>
    </row>
    <row r="21" spans="1:9" ht="15">
      <c r="A21" s="705">
        <v>8</v>
      </c>
      <c r="B21" s="844" t="s">
        <v>1434</v>
      </c>
      <c r="C21" s="873">
        <v>7130820018</v>
      </c>
      <c r="D21" s="705" t="s">
        <v>745</v>
      </c>
      <c r="E21" s="816">
        <f>VLOOKUP(C21,'SOR RATE'!A:D,4,0)</f>
        <v>4.05</v>
      </c>
      <c r="F21" s="705">
        <v>60</v>
      </c>
      <c r="G21" s="706">
        <f t="shared" si="0"/>
        <v>243</v>
      </c>
      <c r="H21" s="705">
        <v>40</v>
      </c>
      <c r="I21" s="818">
        <f t="shared" si="1"/>
        <v>162</v>
      </c>
    </row>
    <row r="22" spans="1:9" ht="15">
      <c r="A22" s="742">
        <v>9</v>
      </c>
      <c r="B22" s="875" t="s">
        <v>1357</v>
      </c>
      <c r="C22" s="873">
        <v>7130830006</v>
      </c>
      <c r="D22" s="705" t="s">
        <v>907</v>
      </c>
      <c r="E22" s="816">
        <f>VLOOKUP(C22,'SOR RATE'!A:D,4,0)</f>
        <v>155.45</v>
      </c>
      <c r="F22" s="705">
        <v>3.5</v>
      </c>
      <c r="G22" s="706">
        <f t="shared" si="0"/>
        <v>544.0749999999999</v>
      </c>
      <c r="H22" s="705">
        <v>3</v>
      </c>
      <c r="I22" s="818">
        <f t="shared" si="1"/>
        <v>466.34999999999997</v>
      </c>
    </row>
    <row r="23" spans="1:10" ht="50.25" customHeight="1">
      <c r="A23" s="705">
        <v>10</v>
      </c>
      <c r="B23" s="717" t="s">
        <v>1761</v>
      </c>
      <c r="C23" s="873">
        <v>7130200202</v>
      </c>
      <c r="D23" s="736" t="s">
        <v>1753</v>
      </c>
      <c r="E23" s="816">
        <f>VLOOKUP(C23,'SOR RATE'!A:D,4,0)</f>
        <v>2510.8</v>
      </c>
      <c r="F23" s="845">
        <f>(0.35*22)+(0.2*12)</f>
        <v>10.1</v>
      </c>
      <c r="G23" s="706">
        <f>E23*F23</f>
        <v>25359.08</v>
      </c>
      <c r="H23" s="845">
        <f>(15*0.35)+(12*0.2)</f>
        <v>7.65</v>
      </c>
      <c r="I23" s="818">
        <f>E23*H23</f>
        <v>19207.620000000003</v>
      </c>
      <c r="J23" s="613" t="s">
        <v>1896</v>
      </c>
    </row>
    <row r="24" spans="1:9" ht="15.75">
      <c r="A24" s="1111">
        <v>11</v>
      </c>
      <c r="B24" s="876" t="s">
        <v>908</v>
      </c>
      <c r="C24" s="873"/>
      <c r="D24" s="705" t="s">
        <v>907</v>
      </c>
      <c r="E24" s="816"/>
      <c r="F24" s="845">
        <v>44</v>
      </c>
      <c r="G24" s="706"/>
      <c r="H24" s="845">
        <v>30</v>
      </c>
      <c r="I24" s="818"/>
    </row>
    <row r="25" spans="1:9" ht="18.75" customHeight="1">
      <c r="A25" s="1111"/>
      <c r="B25" s="829" t="s">
        <v>306</v>
      </c>
      <c r="C25" s="873">
        <v>7130620573</v>
      </c>
      <c r="D25" s="705" t="s">
        <v>907</v>
      </c>
      <c r="E25" s="816">
        <f>VLOOKUP(C25,'SOR RATE'!A:D,4,0)</f>
        <v>69.38</v>
      </c>
      <c r="F25" s="705">
        <v>17</v>
      </c>
      <c r="G25" s="706">
        <f aca="true" t="shared" si="2" ref="G25:G31">F25*E25</f>
        <v>1179.46</v>
      </c>
      <c r="H25" s="705">
        <v>12</v>
      </c>
      <c r="I25" s="818">
        <f aca="true" t="shared" si="3" ref="I25:I31">H25*E25</f>
        <v>832.56</v>
      </c>
    </row>
    <row r="26" spans="1:9" ht="15.75" customHeight="1">
      <c r="A26" s="1111"/>
      <c r="B26" s="829" t="s">
        <v>13</v>
      </c>
      <c r="C26" s="873">
        <v>7130620609</v>
      </c>
      <c r="D26" s="705" t="s">
        <v>907</v>
      </c>
      <c r="E26" s="816">
        <f>VLOOKUP(C26,'SOR RATE'!A:D,4,0)</f>
        <v>69.38</v>
      </c>
      <c r="F26" s="705">
        <v>8</v>
      </c>
      <c r="G26" s="706">
        <f t="shared" si="2"/>
        <v>555.04</v>
      </c>
      <c r="H26" s="705">
        <v>5</v>
      </c>
      <c r="I26" s="818">
        <f t="shared" si="3"/>
        <v>346.9</v>
      </c>
    </row>
    <row r="27" spans="1:9" ht="18.75" customHeight="1">
      <c r="A27" s="1112"/>
      <c r="B27" s="829" t="s">
        <v>1226</v>
      </c>
      <c r="C27" s="873">
        <v>7130620614</v>
      </c>
      <c r="D27" s="705" t="s">
        <v>907</v>
      </c>
      <c r="E27" s="816">
        <f>VLOOKUP(C27,'SOR RATE'!A:D,4,0)</f>
        <v>68.22</v>
      </c>
      <c r="F27" s="705">
        <v>19</v>
      </c>
      <c r="G27" s="706">
        <f t="shared" si="2"/>
        <v>1296.18</v>
      </c>
      <c r="H27" s="705">
        <v>13</v>
      </c>
      <c r="I27" s="818">
        <f t="shared" si="3"/>
        <v>886.86</v>
      </c>
    </row>
    <row r="28" spans="1:9" ht="30">
      <c r="A28" s="742">
        <v>12</v>
      </c>
      <c r="B28" s="820" t="s">
        <v>1446</v>
      </c>
      <c r="C28" s="873">
        <v>7130870013</v>
      </c>
      <c r="D28" s="736" t="s">
        <v>19</v>
      </c>
      <c r="E28" s="816">
        <f>VLOOKUP(C28,'SOR RATE'!A:D,4,0)</f>
        <v>114.85</v>
      </c>
      <c r="F28" s="705">
        <v>7</v>
      </c>
      <c r="G28" s="706">
        <f t="shared" si="2"/>
        <v>803.9499999999999</v>
      </c>
      <c r="H28" s="705">
        <v>5</v>
      </c>
      <c r="I28" s="818">
        <f t="shared" si="3"/>
        <v>574.25</v>
      </c>
    </row>
    <row r="29" spans="1:9" ht="15">
      <c r="A29" s="705">
        <v>13</v>
      </c>
      <c r="B29" s="844" t="s">
        <v>904</v>
      </c>
      <c r="C29" s="873">
        <v>7130211158</v>
      </c>
      <c r="D29" s="705" t="s">
        <v>905</v>
      </c>
      <c r="E29" s="816">
        <f>VLOOKUP(C29,'SOR RATE'!A:D,4,0)</f>
        <v>146.77</v>
      </c>
      <c r="F29" s="705">
        <v>5</v>
      </c>
      <c r="G29" s="706">
        <f t="shared" si="2"/>
        <v>733.85</v>
      </c>
      <c r="H29" s="705">
        <v>5</v>
      </c>
      <c r="I29" s="818">
        <f t="shared" si="3"/>
        <v>733.85</v>
      </c>
    </row>
    <row r="30" spans="1:9" ht="15">
      <c r="A30" s="705">
        <v>14</v>
      </c>
      <c r="B30" s="844" t="s">
        <v>906</v>
      </c>
      <c r="C30" s="873">
        <v>7130210809</v>
      </c>
      <c r="D30" s="705" t="s">
        <v>905</v>
      </c>
      <c r="E30" s="816">
        <f>VLOOKUP(C30,'SOR RATE'!A:D,4,0)</f>
        <v>327.94</v>
      </c>
      <c r="F30" s="705">
        <v>5</v>
      </c>
      <c r="G30" s="706">
        <f t="shared" si="2"/>
        <v>1639.7</v>
      </c>
      <c r="H30" s="705">
        <v>5</v>
      </c>
      <c r="I30" s="818">
        <f t="shared" si="3"/>
        <v>1639.7</v>
      </c>
    </row>
    <row r="31" spans="1:9" ht="15">
      <c r="A31" s="705">
        <v>15</v>
      </c>
      <c r="B31" s="844" t="s">
        <v>1447</v>
      </c>
      <c r="C31" s="819">
        <v>7130870043</v>
      </c>
      <c r="D31" s="705" t="s">
        <v>907</v>
      </c>
      <c r="E31" s="816">
        <f>VLOOKUP(C31,'SOR RATE'!A:D,4,0)/1000</f>
        <v>62.99996</v>
      </c>
      <c r="F31" s="705">
        <v>7.5</v>
      </c>
      <c r="G31" s="706">
        <f t="shared" si="2"/>
        <v>472.4997</v>
      </c>
      <c r="H31" s="705">
        <v>5</v>
      </c>
      <c r="I31" s="818">
        <f t="shared" si="3"/>
        <v>314.9998</v>
      </c>
    </row>
    <row r="32" spans="1:10" ht="18.75" customHeight="1">
      <c r="A32" s="845">
        <v>16</v>
      </c>
      <c r="B32" s="703" t="s">
        <v>566</v>
      </c>
      <c r="C32" s="877"/>
      <c r="D32" s="705"/>
      <c r="E32" s="711"/>
      <c r="F32" s="705"/>
      <c r="G32" s="846">
        <f>SUM(G8:G31)</f>
        <v>326132.11821920006</v>
      </c>
      <c r="H32" s="846"/>
      <c r="I32" s="846">
        <f>SUM(I8:I31)</f>
        <v>377475.41519599996</v>
      </c>
      <c r="J32" s="307"/>
    </row>
    <row r="33" spans="1:11" ht="19.5" customHeight="1">
      <c r="A33" s="742">
        <v>17</v>
      </c>
      <c r="B33" s="701" t="s">
        <v>565</v>
      </c>
      <c r="C33" s="822"/>
      <c r="D33" s="823"/>
      <c r="E33" s="819">
        <v>0.09</v>
      </c>
      <c r="F33" s="823"/>
      <c r="G33" s="706">
        <f>G32*E33</f>
        <v>29351.890639728004</v>
      </c>
      <c r="H33" s="706"/>
      <c r="I33" s="706">
        <f>I32*E33</f>
        <v>33972.78736764</v>
      </c>
      <c r="J33" s="307"/>
      <c r="K33" s="3"/>
    </row>
    <row r="34" spans="1:11" ht="17.25" customHeight="1">
      <c r="A34" s="702" t="s">
        <v>1448</v>
      </c>
      <c r="B34" s="829" t="s">
        <v>1746</v>
      </c>
      <c r="C34" s="831"/>
      <c r="D34" s="702" t="s">
        <v>903</v>
      </c>
      <c r="E34" s="706">
        <f>453*1.2778</f>
        <v>578.8434</v>
      </c>
      <c r="F34" s="705">
        <v>10.1</v>
      </c>
      <c r="G34" s="706">
        <f>F34*E34</f>
        <v>5846.31834</v>
      </c>
      <c r="H34" s="705">
        <v>7.65</v>
      </c>
      <c r="I34" s="706">
        <f>H34*E34</f>
        <v>4428.15201</v>
      </c>
      <c r="J34" s="301"/>
      <c r="K34" s="49"/>
    </row>
    <row r="35" spans="1:11" ht="18.75" customHeight="1">
      <c r="A35" s="736">
        <v>19</v>
      </c>
      <c r="B35" s="739" t="s">
        <v>1449</v>
      </c>
      <c r="C35" s="831"/>
      <c r="D35" s="738"/>
      <c r="E35" s="736"/>
      <c r="F35" s="705"/>
      <c r="G35" s="738">
        <v>70491.86</v>
      </c>
      <c r="H35" s="705"/>
      <c r="I35" s="738">
        <v>60077.12</v>
      </c>
      <c r="J35" s="307"/>
      <c r="K35" s="60"/>
    </row>
    <row r="36" spans="1:11" ht="49.5" customHeight="1">
      <c r="A36" s="736">
        <v>20</v>
      </c>
      <c r="B36" s="739" t="s">
        <v>1450</v>
      </c>
      <c r="C36" s="831"/>
      <c r="D36" s="738"/>
      <c r="E36" s="736"/>
      <c r="F36" s="705"/>
      <c r="G36" s="311">
        <f>(10150.81*1.88%)+10150.81</f>
        <v>10341.645228</v>
      </c>
      <c r="H36" s="705"/>
      <c r="I36" s="311">
        <f>(10150.81*1.88%)+10150.81</f>
        <v>10341.645228</v>
      </c>
      <c r="J36" s="620"/>
      <c r="K36" s="295"/>
    </row>
    <row r="37" spans="1:10" ht="15.75">
      <c r="A37" s="516">
        <v>21</v>
      </c>
      <c r="B37" s="703" t="s">
        <v>567</v>
      </c>
      <c r="C37" s="831"/>
      <c r="D37" s="738"/>
      <c r="E37" s="736"/>
      <c r="F37" s="705"/>
      <c r="G37" s="518">
        <f>G32+G33+G34+G35+G36</f>
        <v>442163.83242692804</v>
      </c>
      <c r="H37" s="547"/>
      <c r="I37" s="518">
        <f>I32+I33+I34+I35+I36</f>
        <v>486295.11980164</v>
      </c>
      <c r="J37" s="307"/>
    </row>
    <row r="38" spans="1:10" ht="39" customHeight="1">
      <c r="A38" s="736">
        <v>22</v>
      </c>
      <c r="B38" s="707" t="s">
        <v>1747</v>
      </c>
      <c r="C38" s="831"/>
      <c r="D38" s="738"/>
      <c r="E38" s="736">
        <v>0.125</v>
      </c>
      <c r="F38" s="705"/>
      <c r="G38" s="738">
        <f>G32*E38</f>
        <v>40766.51477740001</v>
      </c>
      <c r="H38" s="705"/>
      <c r="I38" s="738">
        <f>I32*E38</f>
        <v>47184.426899499995</v>
      </c>
      <c r="J38" s="570"/>
    </row>
    <row r="39" spans="1:11" ht="21.75" customHeight="1">
      <c r="A39" s="736">
        <v>23</v>
      </c>
      <c r="B39" s="739" t="s">
        <v>1411</v>
      </c>
      <c r="C39" s="831"/>
      <c r="D39" s="738"/>
      <c r="E39" s="736"/>
      <c r="F39" s="705"/>
      <c r="G39" s="738">
        <f>G37+G38</f>
        <v>482930.34720432805</v>
      </c>
      <c r="H39" s="738"/>
      <c r="I39" s="738">
        <f>I37+I38</f>
        <v>533479.54670114</v>
      </c>
      <c r="J39" s="307"/>
      <c r="K39" s="72"/>
    </row>
    <row r="40" spans="1:10" ht="34.5" customHeight="1">
      <c r="A40" s="847">
        <v>24</v>
      </c>
      <c r="B40" s="848" t="s">
        <v>1412</v>
      </c>
      <c r="C40" s="878"/>
      <c r="D40" s="743"/>
      <c r="E40" s="847"/>
      <c r="F40" s="705"/>
      <c r="G40" s="846">
        <f>ROUND(G39,0)</f>
        <v>482930</v>
      </c>
      <c r="H40" s="705"/>
      <c r="I40" s="846">
        <f>ROUND(I39,0)</f>
        <v>533480</v>
      </c>
      <c r="J40" s="307"/>
    </row>
    <row r="41" spans="1:9" ht="15">
      <c r="A41" s="556"/>
      <c r="B41" s="3"/>
      <c r="C41" s="312"/>
      <c r="D41" s="3"/>
      <c r="E41" s="3"/>
      <c r="F41" s="3"/>
      <c r="G41" s="3"/>
      <c r="H41" s="3"/>
      <c r="I41" s="356"/>
    </row>
    <row r="42" spans="1:9" ht="15.75">
      <c r="A42" s="357"/>
      <c r="B42" s="322" t="s">
        <v>1152</v>
      </c>
      <c r="C42" s="358"/>
      <c r="D42" s="322"/>
      <c r="E42" s="322"/>
      <c r="F42" s="359"/>
      <c r="G42" s="3"/>
      <c r="H42" s="3"/>
      <c r="I42" s="3"/>
    </row>
    <row r="43" spans="1:9" ht="15">
      <c r="A43" s="556"/>
      <c r="B43" s="3"/>
      <c r="C43" s="312"/>
      <c r="D43" s="3"/>
      <c r="E43" s="3"/>
      <c r="F43" s="3"/>
      <c r="G43" s="3"/>
      <c r="H43" s="3"/>
      <c r="I43" s="3"/>
    </row>
    <row r="44" spans="1:9" ht="15">
      <c r="A44" s="556"/>
      <c r="B44" s="3"/>
      <c r="C44" s="312"/>
      <c r="D44" s="3"/>
      <c r="E44" s="3"/>
      <c r="F44" s="3"/>
      <c r="G44" s="3"/>
      <c r="H44" s="3"/>
      <c r="I44" s="3"/>
    </row>
    <row r="45" spans="1:9" ht="15">
      <c r="A45" s="556"/>
      <c r="B45" s="3"/>
      <c r="C45" s="312"/>
      <c r="D45" s="3"/>
      <c r="E45" s="3"/>
      <c r="F45" s="3"/>
      <c r="G45" s="3"/>
      <c r="H45" s="3"/>
      <c r="I45" s="3"/>
    </row>
    <row r="46" spans="1:9" ht="15">
      <c r="A46" s="556"/>
      <c r="B46" s="3"/>
      <c r="C46" s="312"/>
      <c r="D46" s="3"/>
      <c r="E46" s="3"/>
      <c r="F46" s="3"/>
      <c r="G46" s="3"/>
      <c r="H46" s="3"/>
      <c r="I46" s="3"/>
    </row>
    <row r="47" spans="1:9" ht="15">
      <c r="A47" s="556"/>
      <c r="B47" s="3"/>
      <c r="C47" s="312"/>
      <c r="D47" s="3"/>
      <c r="E47" s="3"/>
      <c r="F47" s="3"/>
      <c r="G47" s="3"/>
      <c r="H47" s="3"/>
      <c r="I47" s="3"/>
    </row>
    <row r="48" spans="1:9" ht="15">
      <c r="A48" s="556"/>
      <c r="B48" s="3"/>
      <c r="C48" s="312"/>
      <c r="D48" s="3"/>
      <c r="E48" s="45"/>
      <c r="F48" s="45"/>
      <c r="G48" s="45"/>
      <c r="H48" s="45"/>
      <c r="I48" s="45"/>
    </row>
  </sheetData>
  <sheetProtection/>
  <mergeCells count="14">
    <mergeCell ref="C1:F1"/>
    <mergeCell ref="H2:I2"/>
    <mergeCell ref="B3:H3"/>
    <mergeCell ref="A5:A6"/>
    <mergeCell ref="B5:B6"/>
    <mergeCell ref="C5:C6"/>
    <mergeCell ref="D5:D6"/>
    <mergeCell ref="E5:E6"/>
    <mergeCell ref="F5:G5"/>
    <mergeCell ref="H5:I5"/>
    <mergeCell ref="A8:A9"/>
    <mergeCell ref="A14:A17"/>
    <mergeCell ref="A18:A20"/>
    <mergeCell ref="A24:A27"/>
  </mergeCells>
  <conditionalFormatting sqref="B32:B33">
    <cfRule type="cellIs" priority="1" dxfId="0" operator="equal" stopIfTrue="1">
      <formula>"?"</formula>
    </cfRule>
  </conditionalFormatting>
  <printOptions gridLines="1" horizontalCentered="1"/>
  <pageMargins left="0.72" right="0.12" top="0.78" bottom="0.49" header="0.48" footer="0.17"/>
  <pageSetup fitToHeight="2" horizontalDpi="600" verticalDpi="600" orientation="landscape" paperSize="9" scale="90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"/>
  <sheetViews>
    <sheetView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N38" sqref="N38"/>
    </sheetView>
  </sheetViews>
  <sheetFormatPr defaultColWidth="9.140625" defaultRowHeight="12.75"/>
  <cols>
    <col min="1" max="1" width="4.140625" style="540" bestFit="1" customWidth="1"/>
    <col min="2" max="2" width="42.421875" style="1" customWidth="1"/>
    <col min="3" max="3" width="11.7109375" style="1" customWidth="1"/>
    <col min="4" max="4" width="7.57421875" style="1" customWidth="1"/>
    <col min="5" max="5" width="9.8515625" style="1" bestFit="1" customWidth="1"/>
    <col min="6" max="6" width="8.00390625" style="1" bestFit="1" customWidth="1"/>
    <col min="7" max="7" width="14.57421875" style="1" customWidth="1"/>
    <col min="8" max="8" width="8.00390625" style="1" bestFit="1" customWidth="1"/>
    <col min="9" max="9" width="11.00390625" style="1" bestFit="1" customWidth="1"/>
    <col min="10" max="10" width="8.00390625" style="1" bestFit="1" customWidth="1"/>
    <col min="11" max="11" width="11.00390625" style="1" bestFit="1" customWidth="1"/>
    <col min="12" max="12" width="17.57421875" style="1" bestFit="1" customWidth="1"/>
    <col min="13" max="13" width="11.8515625" style="1" customWidth="1"/>
    <col min="14" max="16384" width="9.140625" style="1" customWidth="1"/>
  </cols>
  <sheetData>
    <row r="1" spans="2:11" ht="18">
      <c r="B1" s="30"/>
      <c r="C1" s="1066" t="s">
        <v>1451</v>
      </c>
      <c r="D1" s="1066"/>
      <c r="E1" s="1066"/>
      <c r="F1" s="1066"/>
      <c r="G1" s="1066"/>
      <c r="H1" s="30"/>
      <c r="I1" s="30"/>
      <c r="J1" s="30"/>
      <c r="K1" s="30"/>
    </row>
    <row r="2" spans="2:11" ht="11.25" customHeight="1">
      <c r="B2" s="30"/>
      <c r="C2" s="30"/>
      <c r="D2" s="524"/>
      <c r="E2" s="524"/>
      <c r="F2" s="524"/>
      <c r="G2" s="524"/>
      <c r="H2" s="30"/>
      <c r="I2" s="30"/>
      <c r="J2" s="30"/>
      <c r="K2" s="30"/>
    </row>
    <row r="3" spans="2:11" ht="38.25" customHeight="1">
      <c r="B3" s="1068" t="s">
        <v>1452</v>
      </c>
      <c r="C3" s="1068"/>
      <c r="D3" s="1068"/>
      <c r="E3" s="1068"/>
      <c r="F3" s="1068"/>
      <c r="G3" s="1068"/>
      <c r="H3" s="1068"/>
      <c r="I3" s="1068"/>
      <c r="J3" s="303"/>
      <c r="K3" s="303"/>
    </row>
    <row r="4" spans="1:11" ht="12.75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</row>
    <row r="5" spans="1:11" ht="18" customHeight="1">
      <c r="A5" s="89"/>
      <c r="B5" s="89"/>
      <c r="C5" s="89"/>
      <c r="D5" s="89"/>
      <c r="E5" s="89"/>
      <c r="F5" s="89"/>
      <c r="G5" s="89"/>
      <c r="H5" s="89"/>
      <c r="I5" s="89"/>
      <c r="J5" s="89"/>
      <c r="K5" s="548" t="s">
        <v>1823</v>
      </c>
    </row>
    <row r="6" spans="1:11" ht="27.75" customHeight="1">
      <c r="A6" s="1094" t="s">
        <v>1225</v>
      </c>
      <c r="B6" s="1094" t="s">
        <v>16</v>
      </c>
      <c r="C6" s="1094" t="s">
        <v>1389</v>
      </c>
      <c r="D6" s="1094" t="s">
        <v>17</v>
      </c>
      <c r="E6" s="1094" t="s">
        <v>746</v>
      </c>
      <c r="F6" s="1094" t="s">
        <v>1453</v>
      </c>
      <c r="G6" s="1094"/>
      <c r="H6" s="1094" t="s">
        <v>1392</v>
      </c>
      <c r="I6" s="1094"/>
      <c r="J6" s="1094" t="s">
        <v>1417</v>
      </c>
      <c r="K6" s="1094"/>
    </row>
    <row r="7" spans="1:11" ht="12.75">
      <c r="A7" s="1094"/>
      <c r="B7" s="1094"/>
      <c r="C7" s="1094"/>
      <c r="D7" s="1094"/>
      <c r="E7" s="1094"/>
      <c r="F7" s="1094"/>
      <c r="G7" s="1094"/>
      <c r="H7" s="1094"/>
      <c r="I7" s="1094"/>
      <c r="J7" s="1094"/>
      <c r="K7" s="1094"/>
    </row>
    <row r="8" spans="1:11" ht="26.25" customHeight="1">
      <c r="A8" s="1094"/>
      <c r="B8" s="1094"/>
      <c r="C8" s="1094"/>
      <c r="D8" s="1094"/>
      <c r="E8" s="1094"/>
      <c r="F8" s="1094"/>
      <c r="G8" s="1094"/>
      <c r="H8" s="1094"/>
      <c r="I8" s="1094"/>
      <c r="J8" s="1094"/>
      <c r="K8" s="1094"/>
    </row>
    <row r="9" spans="1:11" ht="12.75">
      <c r="A9" s="1094"/>
      <c r="B9" s="1094"/>
      <c r="C9" s="1094"/>
      <c r="D9" s="1094"/>
      <c r="E9" s="1094"/>
      <c r="F9" s="67" t="s">
        <v>18</v>
      </c>
      <c r="G9" s="67" t="s">
        <v>1176</v>
      </c>
      <c r="H9" s="67" t="s">
        <v>18</v>
      </c>
      <c r="I9" s="67" t="s">
        <v>1176</v>
      </c>
      <c r="J9" s="67" t="s">
        <v>18</v>
      </c>
      <c r="K9" s="67" t="s">
        <v>1176</v>
      </c>
    </row>
    <row r="10" spans="1:11" ht="12.75">
      <c r="A10" s="360" t="s">
        <v>910</v>
      </c>
      <c r="B10" s="360" t="s">
        <v>911</v>
      </c>
      <c r="C10" s="360" t="s">
        <v>912</v>
      </c>
      <c r="D10" s="360" t="s">
        <v>1368</v>
      </c>
      <c r="E10" s="360" t="s">
        <v>1369</v>
      </c>
      <c r="F10" s="360" t="s">
        <v>913</v>
      </c>
      <c r="G10" s="360" t="s">
        <v>1418</v>
      </c>
      <c r="H10" s="360" t="s">
        <v>1419</v>
      </c>
      <c r="I10" s="360" t="s">
        <v>1370</v>
      </c>
      <c r="J10" s="360" t="s">
        <v>1371</v>
      </c>
      <c r="K10" s="360" t="s">
        <v>1372</v>
      </c>
    </row>
    <row r="11" spans="1:11" s="73" customFormat="1" ht="32.25" customHeight="1">
      <c r="A11" s="281">
        <v>1</v>
      </c>
      <c r="B11" s="771" t="s">
        <v>1454</v>
      </c>
      <c r="C11" s="770">
        <v>7130600635</v>
      </c>
      <c r="D11" s="281" t="s">
        <v>907</v>
      </c>
      <c r="E11" s="750">
        <f>VLOOKUP(C11,'SOR RATE'!A:D,4,0)/1000</f>
        <v>39.50514</v>
      </c>
      <c r="F11" s="281">
        <v>2700.28</v>
      </c>
      <c r="G11" s="750">
        <f>F11*E11</f>
        <v>106674.9394392</v>
      </c>
      <c r="H11" s="281">
        <v>2700.28</v>
      </c>
      <c r="I11" s="750">
        <f>H11*E11</f>
        <v>106674.9394392</v>
      </c>
      <c r="J11" s="281">
        <v>2700.28</v>
      </c>
      <c r="K11" s="750">
        <f>J11*E11</f>
        <v>106674.9394392</v>
      </c>
    </row>
    <row r="12" spans="1:11" ht="13.5" customHeight="1">
      <c r="A12" s="281">
        <v>2</v>
      </c>
      <c r="B12" s="774" t="s">
        <v>1431</v>
      </c>
      <c r="C12" s="770">
        <v>7130810413</v>
      </c>
      <c r="D12" s="281" t="s">
        <v>19</v>
      </c>
      <c r="E12" s="750">
        <f>VLOOKUP(C12,'SOR RATE'!A:D,4,0)</f>
        <v>623.86</v>
      </c>
      <c r="F12" s="281">
        <v>22</v>
      </c>
      <c r="G12" s="750">
        <f>F12*E12</f>
        <v>13724.92</v>
      </c>
      <c r="H12" s="281">
        <v>22</v>
      </c>
      <c r="I12" s="750">
        <f>H12*E12</f>
        <v>13724.92</v>
      </c>
      <c r="J12" s="281">
        <v>22</v>
      </c>
      <c r="K12" s="750">
        <f>J12*E12</f>
        <v>13724.92</v>
      </c>
    </row>
    <row r="13" spans="1:11" ht="13.5" customHeight="1">
      <c r="A13" s="281">
        <v>3</v>
      </c>
      <c r="B13" s="774" t="s">
        <v>1422</v>
      </c>
      <c r="C13" s="770">
        <v>7130820106</v>
      </c>
      <c r="D13" s="281" t="s">
        <v>19</v>
      </c>
      <c r="E13" s="750">
        <f>VLOOKUP(C13,'SOR RATE'!A:D,4,0)</f>
        <v>12.82</v>
      </c>
      <c r="F13" s="281">
        <v>54</v>
      </c>
      <c r="G13" s="750">
        <f>F13*E13</f>
        <v>692.28</v>
      </c>
      <c r="H13" s="281">
        <v>54</v>
      </c>
      <c r="I13" s="750">
        <f>H13*E13</f>
        <v>692.28</v>
      </c>
      <c r="J13" s="281">
        <v>54</v>
      </c>
      <c r="K13" s="750">
        <f>J13*E13</f>
        <v>692.28</v>
      </c>
    </row>
    <row r="14" spans="1:11" ht="13.5" customHeight="1">
      <c r="A14" s="281">
        <v>4</v>
      </c>
      <c r="B14" s="774" t="s">
        <v>1398</v>
      </c>
      <c r="C14" s="770">
        <v>7130820201</v>
      </c>
      <c r="D14" s="281" t="s">
        <v>19</v>
      </c>
      <c r="E14" s="750">
        <f>VLOOKUP(C14,'SOR RATE'!A:D,4,0)</f>
        <v>35.61</v>
      </c>
      <c r="F14" s="281">
        <v>22</v>
      </c>
      <c r="G14" s="750">
        <f>F14*E14</f>
        <v>783.42</v>
      </c>
      <c r="H14" s="281">
        <v>22</v>
      </c>
      <c r="I14" s="750">
        <f>H14*E14</f>
        <v>783.42</v>
      </c>
      <c r="J14" s="281">
        <v>22</v>
      </c>
      <c r="K14" s="750">
        <f>J14*E14</f>
        <v>783.42</v>
      </c>
    </row>
    <row r="15" spans="1:11" ht="13.5" customHeight="1">
      <c r="A15" s="281">
        <v>5</v>
      </c>
      <c r="B15" s="774" t="s">
        <v>1397</v>
      </c>
      <c r="C15" s="770">
        <v>7130820216</v>
      </c>
      <c r="D15" s="281" t="s">
        <v>19</v>
      </c>
      <c r="E15" s="750">
        <f>VLOOKUP(C15,'SOR RATE'!A:D,4,0)</f>
        <v>40.64</v>
      </c>
      <c r="F15" s="281">
        <v>22</v>
      </c>
      <c r="G15" s="750">
        <f>F15*E15</f>
        <v>894.08</v>
      </c>
      <c r="H15" s="281">
        <v>22</v>
      </c>
      <c r="I15" s="750">
        <f>H15*E15</f>
        <v>894.08</v>
      </c>
      <c r="J15" s="281">
        <v>22</v>
      </c>
      <c r="K15" s="750">
        <f>J15*E15</f>
        <v>894.08</v>
      </c>
    </row>
    <row r="16" spans="1:11" ht="13.5" customHeight="1">
      <c r="A16" s="1100">
        <v>6</v>
      </c>
      <c r="B16" s="810" t="s">
        <v>1455</v>
      </c>
      <c r="C16" s="790"/>
      <c r="D16" s="791"/>
      <c r="E16" s="791"/>
      <c r="F16" s="791"/>
      <c r="G16" s="791"/>
      <c r="H16" s="791"/>
      <c r="I16" s="791"/>
      <c r="J16" s="791"/>
      <c r="K16" s="792"/>
    </row>
    <row r="17" spans="1:11" ht="13.5" customHeight="1">
      <c r="A17" s="1101"/>
      <c r="B17" s="774" t="s">
        <v>1400</v>
      </c>
      <c r="C17" s="770">
        <v>7130830057</v>
      </c>
      <c r="D17" s="745" t="s">
        <v>980</v>
      </c>
      <c r="E17" s="750">
        <f>VLOOKUP(C17,'SOR RATE'!A:D,4,0)/1000</f>
        <v>33.94858</v>
      </c>
      <c r="F17" s="281">
        <v>1030</v>
      </c>
      <c r="G17" s="750">
        <f aca="true" t="shared" si="0" ref="G17:G22">F17*E17</f>
        <v>34967.0374</v>
      </c>
      <c r="H17" s="787" t="s">
        <v>902</v>
      </c>
      <c r="I17" s="787" t="s">
        <v>902</v>
      </c>
      <c r="J17" s="787" t="s">
        <v>902</v>
      </c>
      <c r="K17" s="787" t="s">
        <v>902</v>
      </c>
    </row>
    <row r="18" spans="1:11" ht="13.5" customHeight="1">
      <c r="A18" s="1101"/>
      <c r="B18" s="774" t="s">
        <v>1401</v>
      </c>
      <c r="C18" s="770">
        <v>7130830055</v>
      </c>
      <c r="D18" s="745" t="s">
        <v>980</v>
      </c>
      <c r="E18" s="750">
        <f>VLOOKUP(C18,'SOR RATE'!A:D,4,0)/1000</f>
        <v>20.60463</v>
      </c>
      <c r="F18" s="281">
        <v>1030</v>
      </c>
      <c r="G18" s="750">
        <f t="shared" si="0"/>
        <v>21222.7689</v>
      </c>
      <c r="H18" s="66">
        <v>2060</v>
      </c>
      <c r="I18" s="750">
        <f>H18*E18</f>
        <v>42445.5378</v>
      </c>
      <c r="J18" s="787" t="s">
        <v>902</v>
      </c>
      <c r="K18" s="787" t="s">
        <v>902</v>
      </c>
    </row>
    <row r="19" spans="1:11" ht="13.5" customHeight="1">
      <c r="A19" s="1102"/>
      <c r="B19" s="774" t="s">
        <v>1402</v>
      </c>
      <c r="C19" s="770">
        <v>7130830053</v>
      </c>
      <c r="D19" s="745" t="s">
        <v>980</v>
      </c>
      <c r="E19" s="750">
        <f>VLOOKUP(C19,'SOR RATE'!A:D,4,0)/1000</f>
        <v>14.0663</v>
      </c>
      <c r="F19" s="281">
        <v>1030</v>
      </c>
      <c r="G19" s="750">
        <f t="shared" si="0"/>
        <v>14488.289</v>
      </c>
      <c r="H19" s="879">
        <v>1030</v>
      </c>
      <c r="I19" s="750">
        <f>H19*E19</f>
        <v>14488.289</v>
      </c>
      <c r="J19" s="879">
        <v>3090</v>
      </c>
      <c r="K19" s="750">
        <f>J19*E19</f>
        <v>43464.867</v>
      </c>
    </row>
    <row r="20" spans="1:11" ht="13.5" customHeight="1">
      <c r="A20" s="1100">
        <v>7</v>
      </c>
      <c r="B20" s="774" t="s">
        <v>1350</v>
      </c>
      <c r="C20" s="770">
        <v>7130860032</v>
      </c>
      <c r="D20" s="745" t="s">
        <v>19</v>
      </c>
      <c r="E20" s="750">
        <f>VLOOKUP(C20,'SOR RATE'!A:D,4,0)</f>
        <v>441.23</v>
      </c>
      <c r="F20" s="281">
        <v>9</v>
      </c>
      <c r="G20" s="750">
        <f t="shared" si="0"/>
        <v>3971.07</v>
      </c>
      <c r="H20" s="281">
        <v>9</v>
      </c>
      <c r="I20" s="750">
        <f>H20*E20</f>
        <v>3971.07</v>
      </c>
      <c r="J20" s="281">
        <v>9</v>
      </c>
      <c r="K20" s="750">
        <f>J20*E20</f>
        <v>3971.07</v>
      </c>
    </row>
    <row r="21" spans="1:11" ht="13.5" customHeight="1">
      <c r="A21" s="1101"/>
      <c r="B21" s="774" t="s">
        <v>1403</v>
      </c>
      <c r="C21" s="770">
        <v>7130860077</v>
      </c>
      <c r="D21" s="745" t="s">
        <v>907</v>
      </c>
      <c r="E21" s="750">
        <f>VLOOKUP(C21,'SOR RATE'!A:D,4,0)/1000</f>
        <v>70.43964</v>
      </c>
      <c r="F21" s="745">
        <v>54</v>
      </c>
      <c r="G21" s="750">
        <f t="shared" si="0"/>
        <v>3803.7405599999997</v>
      </c>
      <c r="H21" s="745">
        <v>54</v>
      </c>
      <c r="I21" s="750">
        <f>H21*E21</f>
        <v>3803.7405599999997</v>
      </c>
      <c r="J21" s="745">
        <v>54</v>
      </c>
      <c r="K21" s="750">
        <f>J21*E21</f>
        <v>3803.7405599999997</v>
      </c>
    </row>
    <row r="22" spans="1:11" ht="13.5" customHeight="1">
      <c r="A22" s="1102"/>
      <c r="B22" s="774" t="s">
        <v>1355</v>
      </c>
      <c r="C22" s="770">
        <v>7130810026</v>
      </c>
      <c r="D22" s="880" t="s">
        <v>745</v>
      </c>
      <c r="E22" s="750">
        <f>VLOOKUP(C22,'SOR RATE'!A182:D182,4,0)</f>
        <v>155.99</v>
      </c>
      <c r="F22" s="745">
        <v>9</v>
      </c>
      <c r="G22" s="750">
        <f t="shared" si="0"/>
        <v>1403.91</v>
      </c>
      <c r="H22" s="745">
        <v>9</v>
      </c>
      <c r="I22" s="750">
        <f>H22*E22</f>
        <v>1403.91</v>
      </c>
      <c r="J22" s="745">
        <v>9</v>
      </c>
      <c r="K22" s="750">
        <f>J22*E22</f>
        <v>1403.91</v>
      </c>
    </row>
    <row r="23" spans="1:12" ht="42.75" customHeight="1">
      <c r="A23" s="281">
        <v>8</v>
      </c>
      <c r="B23" s="732" t="s">
        <v>1764</v>
      </c>
      <c r="C23" s="746">
        <v>7130200202</v>
      </c>
      <c r="D23" s="773" t="s">
        <v>1753</v>
      </c>
      <c r="E23" s="750">
        <f>VLOOKUP(C23,'SOR RATE'!A:D,4,0)</f>
        <v>2510.8</v>
      </c>
      <c r="F23" s="793">
        <f>(0.35*22)+(0.2*9)</f>
        <v>9.5</v>
      </c>
      <c r="G23" s="750">
        <f>E23*F23</f>
        <v>23852.600000000002</v>
      </c>
      <c r="H23" s="793">
        <f>(0.35*22)+(0.2*9)</f>
        <v>9.5</v>
      </c>
      <c r="I23" s="750">
        <f>E23*H23</f>
        <v>23852.600000000002</v>
      </c>
      <c r="J23" s="793">
        <f>(0.35*22)+(0.2*9)</f>
        <v>9.5</v>
      </c>
      <c r="K23" s="750">
        <f>E23*J23</f>
        <v>23852.600000000002</v>
      </c>
      <c r="L23" s="615" t="s">
        <v>1896</v>
      </c>
    </row>
    <row r="24" spans="1:11" ht="18.75" customHeight="1">
      <c r="A24" s="788">
        <v>9</v>
      </c>
      <c r="B24" s="881" t="s">
        <v>1407</v>
      </c>
      <c r="C24" s="770">
        <v>7130870013</v>
      </c>
      <c r="D24" s="788" t="s">
        <v>19</v>
      </c>
      <c r="E24" s="750">
        <f>VLOOKUP(C24,'SOR RATE'!A:D,4,0)</f>
        <v>114.85</v>
      </c>
      <c r="F24" s="788">
        <v>7</v>
      </c>
      <c r="G24" s="750">
        <f>F24*E24</f>
        <v>803.9499999999999</v>
      </c>
      <c r="H24" s="788">
        <v>7</v>
      </c>
      <c r="I24" s="750">
        <f>H24*E24</f>
        <v>803.9499999999999</v>
      </c>
      <c r="J24" s="788">
        <v>7</v>
      </c>
      <c r="K24" s="750">
        <f>J24*E24</f>
        <v>803.9499999999999</v>
      </c>
    </row>
    <row r="25" spans="1:11" ht="12.75">
      <c r="A25" s="281">
        <v>10</v>
      </c>
      <c r="B25" s="774" t="s">
        <v>1434</v>
      </c>
      <c r="C25" s="770">
        <v>7130820018</v>
      </c>
      <c r="D25" s="281" t="s">
        <v>745</v>
      </c>
      <c r="E25" s="750">
        <f>VLOOKUP(C25,'SOR RATE'!A:D,4,0)</f>
        <v>4.05</v>
      </c>
      <c r="F25" s="281">
        <v>60</v>
      </c>
      <c r="G25" s="750">
        <f>F25*E25</f>
        <v>243</v>
      </c>
      <c r="H25" s="281">
        <v>60</v>
      </c>
      <c r="I25" s="750">
        <f>H25*E25</f>
        <v>243</v>
      </c>
      <c r="J25" s="281">
        <v>60</v>
      </c>
      <c r="K25" s="750">
        <f>J25*E25</f>
        <v>243</v>
      </c>
    </row>
    <row r="26" spans="1:11" ht="12.75">
      <c r="A26" s="1100">
        <v>11</v>
      </c>
      <c r="B26" s="774" t="s">
        <v>914</v>
      </c>
      <c r="C26" s="746"/>
      <c r="D26" s="281" t="s">
        <v>907</v>
      </c>
      <c r="E26" s="882"/>
      <c r="F26" s="281">
        <v>20</v>
      </c>
      <c r="G26" s="750"/>
      <c r="H26" s="281">
        <v>20</v>
      </c>
      <c r="I26" s="750"/>
      <c r="J26" s="281">
        <v>20</v>
      </c>
      <c r="K26" s="750"/>
    </row>
    <row r="27" spans="1:11" ht="12.75">
      <c r="A27" s="1101"/>
      <c r="B27" s="796" t="s">
        <v>306</v>
      </c>
      <c r="C27" s="770">
        <v>7130620573</v>
      </c>
      <c r="D27" s="281" t="s">
        <v>907</v>
      </c>
      <c r="E27" s="750">
        <f>VLOOKUP(C27,'SOR RATE'!A:D,4,0)</f>
        <v>69.38</v>
      </c>
      <c r="F27" s="281">
        <v>7</v>
      </c>
      <c r="G27" s="750">
        <f aca="true" t="shared" si="1" ref="G27:G33">F27*E27</f>
        <v>485.65999999999997</v>
      </c>
      <c r="H27" s="281">
        <v>7</v>
      </c>
      <c r="I27" s="750">
        <f aca="true" t="shared" si="2" ref="I27:I33">H27*E27</f>
        <v>485.65999999999997</v>
      </c>
      <c r="J27" s="281">
        <v>7</v>
      </c>
      <c r="K27" s="750">
        <f aca="true" t="shared" si="3" ref="K27:K33">J27*E27</f>
        <v>485.65999999999997</v>
      </c>
    </row>
    <row r="28" spans="1:11" ht="12.75">
      <c r="A28" s="1101"/>
      <c r="B28" s="796" t="s">
        <v>13</v>
      </c>
      <c r="C28" s="770">
        <v>7130620609</v>
      </c>
      <c r="D28" s="281" t="s">
        <v>907</v>
      </c>
      <c r="E28" s="750">
        <f>VLOOKUP(C28,'SOR RATE'!A:D,4,0)</f>
        <v>69.38</v>
      </c>
      <c r="F28" s="281">
        <v>3</v>
      </c>
      <c r="G28" s="750">
        <f t="shared" si="1"/>
        <v>208.14</v>
      </c>
      <c r="H28" s="281">
        <v>3</v>
      </c>
      <c r="I28" s="750">
        <f t="shared" si="2"/>
        <v>208.14</v>
      </c>
      <c r="J28" s="281">
        <v>3</v>
      </c>
      <c r="K28" s="750">
        <f t="shared" si="3"/>
        <v>208.14</v>
      </c>
    </row>
    <row r="29" spans="1:11" ht="15" customHeight="1">
      <c r="A29" s="1102"/>
      <c r="B29" s="796" t="s">
        <v>1226</v>
      </c>
      <c r="C29" s="770">
        <v>7130620614</v>
      </c>
      <c r="D29" s="281" t="s">
        <v>907</v>
      </c>
      <c r="E29" s="750">
        <f>VLOOKUP(C29,'SOR RATE'!A:D,4,0)</f>
        <v>68.22</v>
      </c>
      <c r="F29" s="281">
        <v>10</v>
      </c>
      <c r="G29" s="750">
        <f t="shared" si="1"/>
        <v>682.2</v>
      </c>
      <c r="H29" s="281">
        <v>10</v>
      </c>
      <c r="I29" s="750">
        <f t="shared" si="2"/>
        <v>682.2</v>
      </c>
      <c r="J29" s="281">
        <v>10</v>
      </c>
      <c r="K29" s="750">
        <f t="shared" si="3"/>
        <v>682.2</v>
      </c>
    </row>
    <row r="30" spans="1:11" ht="15" customHeight="1">
      <c r="A30" s="281">
        <v>12</v>
      </c>
      <c r="B30" s="774" t="s">
        <v>1357</v>
      </c>
      <c r="C30" s="770">
        <v>7130830006</v>
      </c>
      <c r="D30" s="281" t="s">
        <v>907</v>
      </c>
      <c r="E30" s="750">
        <f>VLOOKUP(C30,'SOR RATE'!A:D,4,0)</f>
        <v>155.45</v>
      </c>
      <c r="F30" s="281">
        <v>3</v>
      </c>
      <c r="G30" s="750">
        <f t="shared" si="1"/>
        <v>466.34999999999997</v>
      </c>
      <c r="H30" s="281">
        <v>3</v>
      </c>
      <c r="I30" s="750">
        <f t="shared" si="2"/>
        <v>466.34999999999997</v>
      </c>
      <c r="J30" s="281">
        <v>3</v>
      </c>
      <c r="K30" s="750">
        <f t="shared" si="3"/>
        <v>466.34999999999997</v>
      </c>
    </row>
    <row r="31" spans="1:11" ht="12.75">
      <c r="A31" s="281">
        <v>13</v>
      </c>
      <c r="B31" s="774" t="s">
        <v>906</v>
      </c>
      <c r="C31" s="770">
        <v>7130210809</v>
      </c>
      <c r="D31" s="281" t="s">
        <v>905</v>
      </c>
      <c r="E31" s="750">
        <f>VLOOKUP(C31,'SOR RATE'!A:D,4,0)</f>
        <v>327.94</v>
      </c>
      <c r="F31" s="281">
        <v>5</v>
      </c>
      <c r="G31" s="750">
        <f t="shared" si="1"/>
        <v>1639.7</v>
      </c>
      <c r="H31" s="281">
        <v>5</v>
      </c>
      <c r="I31" s="750">
        <f t="shared" si="2"/>
        <v>1639.7</v>
      </c>
      <c r="J31" s="281">
        <v>5</v>
      </c>
      <c r="K31" s="750">
        <f t="shared" si="3"/>
        <v>1639.7</v>
      </c>
    </row>
    <row r="32" spans="1:11" ht="12.75">
      <c r="A32" s="281">
        <v>14</v>
      </c>
      <c r="B32" s="774" t="s">
        <v>904</v>
      </c>
      <c r="C32" s="770">
        <v>7130211158</v>
      </c>
      <c r="D32" s="281" t="s">
        <v>905</v>
      </c>
      <c r="E32" s="750">
        <f>VLOOKUP(C32,'SOR RATE'!A:D,4,0)</f>
        <v>146.77</v>
      </c>
      <c r="F32" s="281">
        <v>5</v>
      </c>
      <c r="G32" s="750">
        <f t="shared" si="1"/>
        <v>733.85</v>
      </c>
      <c r="H32" s="281">
        <v>5</v>
      </c>
      <c r="I32" s="750">
        <f t="shared" si="2"/>
        <v>733.85</v>
      </c>
      <c r="J32" s="281">
        <v>5</v>
      </c>
      <c r="K32" s="750">
        <f t="shared" si="3"/>
        <v>733.85</v>
      </c>
    </row>
    <row r="33" spans="1:11" ht="12.75">
      <c r="A33" s="281">
        <v>15</v>
      </c>
      <c r="B33" s="774" t="s">
        <v>1408</v>
      </c>
      <c r="C33" s="770">
        <v>7130870043</v>
      </c>
      <c r="D33" s="281" t="s">
        <v>907</v>
      </c>
      <c r="E33" s="750">
        <f>VLOOKUP(C33,'SOR RATE'!A:D,4,0)/1000</f>
        <v>62.99996</v>
      </c>
      <c r="F33" s="281">
        <v>5</v>
      </c>
      <c r="G33" s="750">
        <f t="shared" si="1"/>
        <v>314.9998</v>
      </c>
      <c r="H33" s="281">
        <v>5</v>
      </c>
      <c r="I33" s="750">
        <f t="shared" si="2"/>
        <v>314.9998</v>
      </c>
      <c r="J33" s="281">
        <v>5</v>
      </c>
      <c r="K33" s="750">
        <f t="shared" si="3"/>
        <v>314.9998</v>
      </c>
    </row>
    <row r="34" spans="1:13" ht="15" customHeight="1">
      <c r="A34" s="533">
        <v>16</v>
      </c>
      <c r="B34" s="730" t="s">
        <v>566</v>
      </c>
      <c r="C34" s="533"/>
      <c r="D34" s="533"/>
      <c r="E34" s="533"/>
      <c r="F34" s="533"/>
      <c r="G34" s="749">
        <f>SUM(G11:G33)</f>
        <v>232056.90509920006</v>
      </c>
      <c r="H34" s="749"/>
      <c r="I34" s="749">
        <f>SUM(I11:I33)</f>
        <v>218312.63659920005</v>
      </c>
      <c r="J34" s="749"/>
      <c r="K34" s="749">
        <f>SUM(K11:K33)</f>
        <v>204843.67679920007</v>
      </c>
      <c r="L34" s="361"/>
      <c r="M34" s="16"/>
    </row>
    <row r="35" spans="1:13" ht="15" customHeight="1">
      <c r="A35" s="788">
        <v>17</v>
      </c>
      <c r="B35" s="725" t="s">
        <v>565</v>
      </c>
      <c r="C35" s="810"/>
      <c r="D35" s="811"/>
      <c r="E35" s="281">
        <v>0.09</v>
      </c>
      <c r="F35" s="281"/>
      <c r="G35" s="750">
        <f>G34*E35</f>
        <v>20885.121458928003</v>
      </c>
      <c r="H35" s="750"/>
      <c r="I35" s="750">
        <f>I34*E35</f>
        <v>19648.137293928005</v>
      </c>
      <c r="J35" s="750"/>
      <c r="K35" s="750">
        <f>K34*E35</f>
        <v>18435.930911928004</v>
      </c>
      <c r="L35" s="361"/>
      <c r="M35" s="127"/>
    </row>
    <row r="36" spans="1:15" ht="15" customHeight="1">
      <c r="A36" s="883" t="s">
        <v>1448</v>
      </c>
      <c r="B36" s="859" t="s">
        <v>1746</v>
      </c>
      <c r="C36" s="883"/>
      <c r="D36" s="883" t="s">
        <v>903</v>
      </c>
      <c r="E36" s="772">
        <f>453*1.2778</f>
        <v>578.8434</v>
      </c>
      <c r="F36" s="793">
        <f>(0.35*22)+(0.2*9)</f>
        <v>9.5</v>
      </c>
      <c r="G36" s="71">
        <f>F36*E36</f>
        <v>5499.012299999999</v>
      </c>
      <c r="H36" s="793">
        <f>(0.35*22)+(0.2*9)</f>
        <v>9.5</v>
      </c>
      <c r="I36" s="884">
        <f>H36*E36</f>
        <v>5499.012299999999</v>
      </c>
      <c r="J36" s="793">
        <f>(0.35*22)+(0.2*9)</f>
        <v>9.5</v>
      </c>
      <c r="K36" s="726">
        <f>J36*E36</f>
        <v>5499.012299999999</v>
      </c>
      <c r="L36" s="558"/>
      <c r="N36" s="362"/>
      <c r="O36" s="362"/>
    </row>
    <row r="37" spans="1:12" ht="15">
      <c r="A37" s="748">
        <v>19</v>
      </c>
      <c r="B37" s="771" t="s">
        <v>1426</v>
      </c>
      <c r="C37" s="748"/>
      <c r="D37" s="748"/>
      <c r="E37" s="772"/>
      <c r="F37" s="748"/>
      <c r="G37" s="772">
        <v>47449.03</v>
      </c>
      <c r="H37" s="748"/>
      <c r="I37" s="772">
        <f>+G37</f>
        <v>47449.03</v>
      </c>
      <c r="J37" s="748"/>
      <c r="K37" s="772">
        <f>+I37</f>
        <v>47449.03</v>
      </c>
      <c r="L37" s="361"/>
    </row>
    <row r="38" spans="1:15" ht="43.5" customHeight="1">
      <c r="A38" s="748">
        <v>20</v>
      </c>
      <c r="B38" s="771" t="s">
        <v>1427</v>
      </c>
      <c r="C38" s="748"/>
      <c r="D38" s="748"/>
      <c r="E38" s="772"/>
      <c r="F38" s="748"/>
      <c r="G38" s="618">
        <f>(10150.81*1.88%)+10150.81</f>
        <v>10341.645228</v>
      </c>
      <c r="H38" s="748"/>
      <c r="I38" s="618">
        <f>(10150.81*1.88%)+10150.81</f>
        <v>10341.645228</v>
      </c>
      <c r="J38" s="748"/>
      <c r="K38" s="618">
        <f>(10150.81*1.88%)+10150.81</f>
        <v>10341.645228</v>
      </c>
      <c r="L38" s="621"/>
      <c r="M38" s="295"/>
      <c r="N38" s="362"/>
      <c r="O38" s="362"/>
    </row>
    <row r="39" spans="1:12" ht="15.75" customHeight="1">
      <c r="A39" s="534">
        <v>21</v>
      </c>
      <c r="B39" s="730" t="s">
        <v>567</v>
      </c>
      <c r="C39" s="748"/>
      <c r="D39" s="748"/>
      <c r="E39" s="772"/>
      <c r="F39" s="748"/>
      <c r="G39" s="731">
        <f>G34+G35+G36+G37+G38</f>
        <v>316231.71408612805</v>
      </c>
      <c r="H39" s="534"/>
      <c r="I39" s="731">
        <f>I34+I35+I36+I37+I38</f>
        <v>301250.4614211281</v>
      </c>
      <c r="J39" s="534"/>
      <c r="K39" s="731">
        <f>K34+K35+K36+K37+K38</f>
        <v>286569.29523912806</v>
      </c>
      <c r="L39" s="361"/>
    </row>
    <row r="40" spans="1:12" ht="31.5" customHeight="1">
      <c r="A40" s="748">
        <v>22</v>
      </c>
      <c r="B40" s="734" t="s">
        <v>1747</v>
      </c>
      <c r="C40" s="748"/>
      <c r="D40" s="748"/>
      <c r="E40" s="885">
        <v>0.125</v>
      </c>
      <c r="F40" s="748"/>
      <c r="G40" s="772">
        <f>G34*E40</f>
        <v>29007.113137400007</v>
      </c>
      <c r="H40" s="748"/>
      <c r="I40" s="772">
        <f>I34*E40</f>
        <v>27289.079574900006</v>
      </c>
      <c r="J40" s="748"/>
      <c r="K40" s="772">
        <f>K34*E40</f>
        <v>25605.45959990001</v>
      </c>
      <c r="L40" s="577"/>
    </row>
    <row r="41" spans="1:13" ht="15">
      <c r="A41" s="748">
        <v>23</v>
      </c>
      <c r="B41" s="771" t="s">
        <v>1411</v>
      </c>
      <c r="C41" s="748"/>
      <c r="D41" s="748"/>
      <c r="E41" s="772"/>
      <c r="F41" s="748"/>
      <c r="G41" s="772">
        <f>G39+G40</f>
        <v>345238.82722352806</v>
      </c>
      <c r="H41" s="772"/>
      <c r="I41" s="772">
        <f>I39+I40</f>
        <v>328539.54099602805</v>
      </c>
      <c r="J41" s="772"/>
      <c r="K41" s="772">
        <f>K39+K40</f>
        <v>312174.75483902806</v>
      </c>
      <c r="L41" s="361"/>
      <c r="M41" s="72"/>
    </row>
    <row r="42" spans="1:12" ht="30" customHeight="1">
      <c r="A42" s="526">
        <v>24</v>
      </c>
      <c r="B42" s="280" t="s">
        <v>1412</v>
      </c>
      <c r="C42" s="534"/>
      <c r="D42" s="534"/>
      <c r="E42" s="731"/>
      <c r="F42" s="534"/>
      <c r="G42" s="278">
        <f>ROUND(G41,0)</f>
        <v>345239</v>
      </c>
      <c r="H42" s="534"/>
      <c r="I42" s="278">
        <f>ROUND(I41,0)</f>
        <v>328540</v>
      </c>
      <c r="J42" s="534"/>
      <c r="K42" s="278">
        <f>ROUND(K41,0)</f>
        <v>312175</v>
      </c>
      <c r="L42" s="361"/>
    </row>
  </sheetData>
  <sheetProtection/>
  <mergeCells count="13">
    <mergeCell ref="J6:K8"/>
    <mergeCell ref="A16:A19"/>
    <mergeCell ref="A20:A22"/>
    <mergeCell ref="A26:A29"/>
    <mergeCell ref="C1:G1"/>
    <mergeCell ref="B3:I3"/>
    <mergeCell ref="A6:A9"/>
    <mergeCell ref="B6:B9"/>
    <mergeCell ref="C6:C9"/>
    <mergeCell ref="D6:D9"/>
    <mergeCell ref="E6:E9"/>
    <mergeCell ref="F6:G8"/>
    <mergeCell ref="H6:I8"/>
  </mergeCells>
  <conditionalFormatting sqref="B34:B35">
    <cfRule type="cellIs" priority="1" dxfId="0" operator="equal" stopIfTrue="1">
      <formula>"?"</formula>
    </cfRule>
  </conditionalFormatting>
  <printOptions gridLines="1" horizontalCentered="1"/>
  <pageMargins left="0.82" right="0.28" top="0.85" bottom="0.28" header="0.65" footer="0.16"/>
  <pageSetup fitToHeight="2" fitToWidth="1" horizontalDpi="300" verticalDpi="300" orientation="landscape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Q98"/>
  <sheetViews>
    <sheetView tabSelected="1" zoomScale="90" zoomScaleNormal="90" zoomScaleSheetLayoutView="75" zoomScalePageLayoutView="0" workbookViewId="0" topLeftCell="A1">
      <pane xSplit="2" ySplit="9" topLeftCell="C43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L48" sqref="L48"/>
    </sheetView>
  </sheetViews>
  <sheetFormatPr defaultColWidth="9.140625" defaultRowHeight="12.75"/>
  <cols>
    <col min="1" max="1" width="5.8515625" style="363" customWidth="1"/>
    <col min="2" max="2" width="55.28125" style="365" customWidth="1"/>
    <col min="3" max="3" width="15.00390625" style="365" customWidth="1"/>
    <col min="4" max="4" width="6.57421875" style="365" customWidth="1"/>
    <col min="5" max="5" width="10.00390625" style="365" customWidth="1"/>
    <col min="6" max="6" width="8.00390625" style="365" customWidth="1"/>
    <col min="7" max="7" width="14.28125" style="365" customWidth="1"/>
    <col min="8" max="8" width="9.8515625" style="365" customWidth="1"/>
    <col min="9" max="9" width="15.140625" style="365" customWidth="1"/>
    <col min="10" max="10" width="7.28125" style="365" customWidth="1"/>
    <col min="11" max="11" width="15.421875" style="365" customWidth="1"/>
    <col min="12" max="12" width="43.28125" style="365" customWidth="1"/>
    <col min="13" max="13" width="17.8515625" style="365" customWidth="1"/>
    <col min="14" max="14" width="9.7109375" style="365" customWidth="1"/>
    <col min="15" max="15" width="10.28125" style="365" customWidth="1"/>
    <col min="16" max="16384" width="9.140625" style="365" customWidth="1"/>
  </cols>
  <sheetData>
    <row r="1" spans="2:15" ht="18.75" customHeight="1">
      <c r="B1" s="91"/>
      <c r="C1" s="1060" t="s">
        <v>1456</v>
      </c>
      <c r="D1" s="1060"/>
      <c r="E1" s="1060"/>
      <c r="F1" s="1060"/>
      <c r="G1" s="91"/>
      <c r="H1" s="91"/>
      <c r="I1" s="91"/>
      <c r="J1" s="91"/>
      <c r="K1" s="91"/>
      <c r="L1" s="364"/>
      <c r="M1" s="364"/>
      <c r="N1" s="364"/>
      <c r="O1" s="364"/>
    </row>
    <row r="2" spans="2:15" ht="12" customHeight="1">
      <c r="B2" s="91"/>
      <c r="C2" s="91"/>
      <c r="D2" s="92"/>
      <c r="E2" s="92"/>
      <c r="F2" s="92"/>
      <c r="G2" s="91"/>
      <c r="H2" s="91"/>
      <c r="I2" s="91"/>
      <c r="J2" s="91"/>
      <c r="K2" s="91"/>
      <c r="L2" s="364"/>
      <c r="M2" s="364"/>
      <c r="N2" s="364"/>
      <c r="O2" s="364"/>
    </row>
    <row r="3" spans="2:15" ht="48.75" customHeight="1">
      <c r="B3" s="1068" t="s">
        <v>1768</v>
      </c>
      <c r="C3" s="1068"/>
      <c r="D3" s="1068"/>
      <c r="E3" s="1068"/>
      <c r="F3" s="1068"/>
      <c r="G3" s="1068"/>
      <c r="H3" s="1068"/>
      <c r="I3" s="1068"/>
      <c r="J3" s="235"/>
      <c r="K3" s="235"/>
      <c r="L3" s="366"/>
      <c r="M3" s="366"/>
      <c r="N3" s="366"/>
      <c r="O3" s="366"/>
    </row>
    <row r="4" spans="1:9" ht="12" customHeight="1">
      <c r="A4" s="367"/>
      <c r="B4" s="368"/>
      <c r="C4" s="368"/>
      <c r="D4" s="368"/>
      <c r="E4" s="368"/>
      <c r="F4" s="368"/>
      <c r="G4" s="368"/>
      <c r="H4" s="368"/>
      <c r="I4" s="368"/>
    </row>
    <row r="5" spans="1:11" ht="18" customHeight="1">
      <c r="A5" s="367"/>
      <c r="B5" s="367"/>
      <c r="C5" s="367"/>
      <c r="D5" s="367"/>
      <c r="E5" s="367"/>
      <c r="F5" s="367"/>
      <c r="G5" s="367"/>
      <c r="H5" s="367"/>
      <c r="J5" s="1138" t="s">
        <v>1823</v>
      </c>
      <c r="K5" s="1138"/>
    </row>
    <row r="6" spans="1:13" ht="79.5" customHeight="1">
      <c r="A6" s="1085" t="s">
        <v>1225</v>
      </c>
      <c r="B6" s="1085" t="s">
        <v>16</v>
      </c>
      <c r="C6" s="1085" t="s">
        <v>1389</v>
      </c>
      <c r="D6" s="1085" t="s">
        <v>17</v>
      </c>
      <c r="E6" s="1085" t="s">
        <v>746</v>
      </c>
      <c r="F6" s="1135" t="s">
        <v>1458</v>
      </c>
      <c r="G6" s="1136"/>
      <c r="H6" s="1135" t="s">
        <v>1459</v>
      </c>
      <c r="I6" s="1136"/>
      <c r="J6" s="1135" t="s">
        <v>1460</v>
      </c>
      <c r="K6" s="1136"/>
      <c r="L6" s="369"/>
      <c r="M6" s="370"/>
    </row>
    <row r="7" spans="1:11" ht="49.5" customHeight="1">
      <c r="A7" s="1086"/>
      <c r="B7" s="1086"/>
      <c r="C7" s="1086"/>
      <c r="D7" s="1086"/>
      <c r="E7" s="1086"/>
      <c r="F7" s="1137" t="s">
        <v>1461</v>
      </c>
      <c r="G7" s="1088"/>
      <c r="H7" s="1137" t="s">
        <v>1461</v>
      </c>
      <c r="I7" s="1088"/>
      <c r="J7" s="1081" t="s">
        <v>1461</v>
      </c>
      <c r="K7" s="1081"/>
    </row>
    <row r="8" spans="1:13" ht="18" customHeight="1">
      <c r="A8" s="1087"/>
      <c r="B8" s="1087"/>
      <c r="C8" s="1087"/>
      <c r="D8" s="1087"/>
      <c r="E8" s="1087"/>
      <c r="F8" s="529" t="s">
        <v>20</v>
      </c>
      <c r="G8" s="529" t="s">
        <v>1176</v>
      </c>
      <c r="H8" s="529" t="s">
        <v>20</v>
      </c>
      <c r="I8" s="529" t="s">
        <v>1176</v>
      </c>
      <c r="J8" s="529" t="s">
        <v>20</v>
      </c>
      <c r="K8" s="529" t="s">
        <v>1176</v>
      </c>
      <c r="M8" s="371"/>
    </row>
    <row r="9" spans="1:13" ht="15">
      <c r="A9" s="372" t="s">
        <v>910</v>
      </c>
      <c r="B9" s="372" t="s">
        <v>911</v>
      </c>
      <c r="C9" s="373">
        <v>3</v>
      </c>
      <c r="D9" s="372">
        <v>4</v>
      </c>
      <c r="E9" s="372">
        <v>5</v>
      </c>
      <c r="F9" s="372">
        <v>6</v>
      </c>
      <c r="G9" s="372">
        <v>7</v>
      </c>
      <c r="H9" s="372">
        <v>6</v>
      </c>
      <c r="I9" s="372">
        <v>7</v>
      </c>
      <c r="J9" s="372">
        <v>6</v>
      </c>
      <c r="K9" s="372">
        <v>7</v>
      </c>
      <c r="M9" s="371"/>
    </row>
    <row r="10" spans="1:13" ht="36.75" customHeight="1">
      <c r="A10" s="736" t="s">
        <v>1462</v>
      </c>
      <c r="B10" s="741" t="s">
        <v>1463</v>
      </c>
      <c r="C10" s="828">
        <v>7130600675</v>
      </c>
      <c r="D10" s="736" t="s">
        <v>907</v>
      </c>
      <c r="E10" s="706">
        <f>VLOOKUP(C10,'SOR RATE'!A:D,4,0)/1000</f>
        <v>44.915519999999994</v>
      </c>
      <c r="F10" s="736"/>
      <c r="G10" s="886"/>
      <c r="H10" s="738">
        <v>3626.07</v>
      </c>
      <c r="I10" s="887">
        <f>H10*E10</f>
        <v>162866.81960639998</v>
      </c>
      <c r="J10" s="736"/>
      <c r="K10" s="886"/>
      <c r="L10" s="374"/>
      <c r="M10" s="375"/>
    </row>
    <row r="11" spans="1:13" ht="38.25" customHeight="1">
      <c r="A11" s="736" t="s">
        <v>1329</v>
      </c>
      <c r="B11" s="739" t="s">
        <v>1464</v>
      </c>
      <c r="C11" s="828">
        <v>7130601958</v>
      </c>
      <c r="D11" s="736" t="s">
        <v>907</v>
      </c>
      <c r="E11" s="706">
        <f>VLOOKUP(C11,'SOR RATE'!A:D,4,0)/1000</f>
        <v>46.40388</v>
      </c>
      <c r="F11" s="736"/>
      <c r="G11" s="887"/>
      <c r="H11" s="736"/>
      <c r="I11" s="886"/>
      <c r="J11" s="886">
        <v>6678</v>
      </c>
      <c r="K11" s="887">
        <f>J11*E11</f>
        <v>309885.11064</v>
      </c>
      <c r="L11" s="374"/>
      <c r="M11" s="375"/>
    </row>
    <row r="12" spans="1:17" ht="16.5" customHeight="1">
      <c r="A12" s="736" t="s">
        <v>1465</v>
      </c>
      <c r="B12" s="844" t="s">
        <v>1466</v>
      </c>
      <c r="C12" s="819">
        <v>7130800012</v>
      </c>
      <c r="D12" s="870" t="s">
        <v>19</v>
      </c>
      <c r="E12" s="706">
        <f>VLOOKUP(C12,'SOR RATE'!A:D,4,0)</f>
        <v>2255.2</v>
      </c>
      <c r="F12" s="886">
        <v>20</v>
      </c>
      <c r="G12" s="887">
        <f aca="true" t="shared" si="0" ref="G12:G22">F12*E12</f>
        <v>45104</v>
      </c>
      <c r="H12" s="886"/>
      <c r="I12" s="886"/>
      <c r="J12" s="886"/>
      <c r="K12" s="887"/>
      <c r="L12" s="371"/>
      <c r="M12" s="375"/>
      <c r="Q12" s="374"/>
    </row>
    <row r="13" spans="1:17" ht="35.25" customHeight="1">
      <c r="A13" s="736">
        <v>2</v>
      </c>
      <c r="B13" s="741" t="s">
        <v>27</v>
      </c>
      <c r="C13" s="828">
        <v>7130797533</v>
      </c>
      <c r="D13" s="736" t="s">
        <v>19</v>
      </c>
      <c r="E13" s="706">
        <f>VLOOKUP(C13,'SOR RATE'!A:D,4,0)</f>
        <v>428.94</v>
      </c>
      <c r="F13" s="886">
        <v>15</v>
      </c>
      <c r="G13" s="887">
        <f t="shared" si="0"/>
        <v>6434.1</v>
      </c>
      <c r="H13" s="886">
        <v>15</v>
      </c>
      <c r="I13" s="887">
        <f aca="true" t="shared" si="1" ref="I13:I22">H13*E13</f>
        <v>6434.1</v>
      </c>
      <c r="J13" s="886">
        <v>15</v>
      </c>
      <c r="K13" s="887">
        <f aca="true" t="shared" si="2" ref="K13:K22">J13*E13</f>
        <v>6434.1</v>
      </c>
      <c r="L13" s="377"/>
      <c r="M13" s="38"/>
      <c r="N13" s="38"/>
      <c r="O13" s="38"/>
      <c r="P13" s="38"/>
      <c r="Q13" s="374"/>
    </row>
    <row r="14" spans="1:17" ht="32.25" customHeight="1">
      <c r="A14" s="736" t="s">
        <v>1467</v>
      </c>
      <c r="B14" s="517" t="s">
        <v>1162</v>
      </c>
      <c r="C14" s="736">
        <v>7130390003</v>
      </c>
      <c r="D14" s="736" t="s">
        <v>19</v>
      </c>
      <c r="E14" s="706">
        <f>VLOOKUP(C14,'SOR RATE'!A:D,4,0)</f>
        <v>84.3</v>
      </c>
      <c r="F14" s="886">
        <v>20</v>
      </c>
      <c r="G14" s="887">
        <f t="shared" si="0"/>
        <v>1686</v>
      </c>
      <c r="H14" s="886">
        <v>20</v>
      </c>
      <c r="I14" s="887">
        <f t="shared" si="1"/>
        <v>1686</v>
      </c>
      <c r="J14" s="886">
        <v>20</v>
      </c>
      <c r="K14" s="887">
        <f t="shared" si="2"/>
        <v>1686</v>
      </c>
      <c r="L14" s="299"/>
      <c r="M14" s="376"/>
      <c r="N14" s="376"/>
      <c r="O14" s="376"/>
      <c r="P14" s="376"/>
      <c r="Q14" s="374"/>
    </row>
    <row r="15" spans="1:17" ht="32.25" customHeight="1">
      <c r="A15" s="736" t="s">
        <v>4</v>
      </c>
      <c r="B15" s="517" t="s">
        <v>1163</v>
      </c>
      <c r="C15" s="736">
        <v>7130390004</v>
      </c>
      <c r="D15" s="736" t="s">
        <v>19</v>
      </c>
      <c r="E15" s="706">
        <f>VLOOKUP(C15,'SOR RATE'!A:D,4,0)</f>
        <v>109.82</v>
      </c>
      <c r="F15" s="886">
        <v>45</v>
      </c>
      <c r="G15" s="887">
        <f t="shared" si="0"/>
        <v>4941.9</v>
      </c>
      <c r="H15" s="886">
        <v>45</v>
      </c>
      <c r="I15" s="887">
        <f t="shared" si="1"/>
        <v>4941.9</v>
      </c>
      <c r="J15" s="886">
        <v>45</v>
      </c>
      <c r="K15" s="887">
        <f t="shared" si="2"/>
        <v>4941.9</v>
      </c>
      <c r="L15" s="377"/>
      <c r="M15" s="376"/>
      <c r="N15" s="376"/>
      <c r="O15" s="376"/>
      <c r="P15" s="376"/>
      <c r="Q15" s="376"/>
    </row>
    <row r="16" spans="1:17" ht="31.5" customHeight="1">
      <c r="A16" s="736" t="s">
        <v>5</v>
      </c>
      <c r="B16" s="517" t="s">
        <v>1164</v>
      </c>
      <c r="C16" s="736">
        <v>7130390005</v>
      </c>
      <c r="D16" s="736" t="s">
        <v>19</v>
      </c>
      <c r="E16" s="706">
        <f>VLOOKUP(C16,'SOR RATE'!A:D,4,0)</f>
        <v>153.07</v>
      </c>
      <c r="F16" s="886">
        <v>15</v>
      </c>
      <c r="G16" s="887">
        <f t="shared" si="0"/>
        <v>2296.0499999999997</v>
      </c>
      <c r="H16" s="886">
        <v>15</v>
      </c>
      <c r="I16" s="887">
        <f t="shared" si="1"/>
        <v>2296.0499999999997</v>
      </c>
      <c r="J16" s="886">
        <v>15</v>
      </c>
      <c r="K16" s="887">
        <f t="shared" si="2"/>
        <v>2296.0499999999997</v>
      </c>
      <c r="L16" s="299"/>
      <c r="M16" s="1134" t="s">
        <v>1468</v>
      </c>
      <c r="N16" s="1134"/>
      <c r="O16" s="376"/>
      <c r="P16" s="376"/>
      <c r="Q16" s="374"/>
    </row>
    <row r="17" spans="1:17" ht="18" customHeight="1">
      <c r="A17" s="736">
        <v>4</v>
      </c>
      <c r="B17" s="741" t="s">
        <v>1469</v>
      </c>
      <c r="C17" s="736">
        <v>7130390006</v>
      </c>
      <c r="D17" s="736" t="s">
        <v>926</v>
      </c>
      <c r="E17" s="706">
        <f>VLOOKUP(C17,'SOR RATE'!A:D,4,0)</f>
        <v>119.8</v>
      </c>
      <c r="F17" s="886">
        <v>28</v>
      </c>
      <c r="G17" s="887">
        <f t="shared" si="0"/>
        <v>3354.4</v>
      </c>
      <c r="H17" s="886">
        <v>28</v>
      </c>
      <c r="I17" s="887">
        <f t="shared" si="1"/>
        <v>3354.4</v>
      </c>
      <c r="J17" s="886">
        <v>28</v>
      </c>
      <c r="K17" s="887">
        <f t="shared" si="2"/>
        <v>3354.4</v>
      </c>
      <c r="L17" s="299"/>
      <c r="M17" s="1"/>
      <c r="Q17" s="374"/>
    </row>
    <row r="18" spans="1:17" ht="35.25" customHeight="1">
      <c r="A18" s="736">
        <v>5</v>
      </c>
      <c r="B18" s="741" t="s">
        <v>529</v>
      </c>
      <c r="C18" s="705">
        <v>7130797532</v>
      </c>
      <c r="D18" s="736" t="s">
        <v>19</v>
      </c>
      <c r="E18" s="706">
        <f>VLOOKUP(C18,'SOR RATE'!A:D,4,0)</f>
        <v>590.97</v>
      </c>
      <c r="F18" s="886">
        <v>14</v>
      </c>
      <c r="G18" s="887">
        <f t="shared" si="0"/>
        <v>8273.58</v>
      </c>
      <c r="H18" s="886">
        <v>14</v>
      </c>
      <c r="I18" s="887">
        <f t="shared" si="1"/>
        <v>8273.58</v>
      </c>
      <c r="J18" s="886">
        <v>14</v>
      </c>
      <c r="K18" s="887">
        <f t="shared" si="2"/>
        <v>8273.58</v>
      </c>
      <c r="L18" s="501"/>
      <c r="M18" s="29"/>
      <c r="Q18" s="374"/>
    </row>
    <row r="19" spans="1:17" ht="35.25" customHeight="1">
      <c r="A19" s="736">
        <v>6</v>
      </c>
      <c r="B19" s="739" t="s">
        <v>1767</v>
      </c>
      <c r="C19" s="828">
        <v>7130310032</v>
      </c>
      <c r="D19" s="736" t="s">
        <v>980</v>
      </c>
      <c r="E19" s="706">
        <f>VLOOKUP(C19,'SOR RATE'!A:D,4,0)/1000</f>
        <v>76.71173</v>
      </c>
      <c r="F19" s="886">
        <v>1100</v>
      </c>
      <c r="G19" s="887">
        <f t="shared" si="0"/>
        <v>84382.903</v>
      </c>
      <c r="H19" s="886">
        <v>1100</v>
      </c>
      <c r="I19" s="887">
        <f t="shared" si="1"/>
        <v>84382.903</v>
      </c>
      <c r="J19" s="886">
        <v>1100</v>
      </c>
      <c r="K19" s="887">
        <f t="shared" si="2"/>
        <v>84382.903</v>
      </c>
      <c r="L19" s="377"/>
      <c r="M19" s="375"/>
      <c r="N19" s="376"/>
      <c r="O19" s="376"/>
      <c r="P19" s="376"/>
      <c r="Q19" s="376"/>
    </row>
    <row r="20" spans="1:13" ht="19.5" customHeight="1">
      <c r="A20" s="1073">
        <v>7</v>
      </c>
      <c r="B20" s="739" t="s">
        <v>1472</v>
      </c>
      <c r="C20" s="888">
        <v>7130860032</v>
      </c>
      <c r="D20" s="736" t="s">
        <v>19</v>
      </c>
      <c r="E20" s="706">
        <f>VLOOKUP(C20,'SOR RATE'!A:D,4,0)</f>
        <v>441.23</v>
      </c>
      <c r="F20" s="886">
        <v>12</v>
      </c>
      <c r="G20" s="886">
        <f t="shared" si="0"/>
        <v>5294.76</v>
      </c>
      <c r="H20" s="886">
        <v>12</v>
      </c>
      <c r="I20" s="886">
        <f t="shared" si="1"/>
        <v>5294.76</v>
      </c>
      <c r="J20" s="886">
        <v>12</v>
      </c>
      <c r="K20" s="887">
        <f t="shared" si="2"/>
        <v>5294.76</v>
      </c>
      <c r="M20" s="375"/>
    </row>
    <row r="21" spans="1:13" ht="18" customHeight="1">
      <c r="A21" s="1074"/>
      <c r="B21" s="739" t="s">
        <v>1473</v>
      </c>
      <c r="C21" s="888">
        <v>7130860077</v>
      </c>
      <c r="D21" s="736" t="s">
        <v>907</v>
      </c>
      <c r="E21" s="706">
        <f>VLOOKUP(C21,'SOR RATE'!A:D,4,0)/1000</f>
        <v>70.43964</v>
      </c>
      <c r="F21" s="886">
        <v>72</v>
      </c>
      <c r="G21" s="887">
        <f t="shared" si="0"/>
        <v>5071.65408</v>
      </c>
      <c r="H21" s="886">
        <v>72</v>
      </c>
      <c r="I21" s="887">
        <f t="shared" si="1"/>
        <v>5071.65408</v>
      </c>
      <c r="J21" s="886">
        <v>72</v>
      </c>
      <c r="K21" s="887">
        <f t="shared" si="2"/>
        <v>5071.65408</v>
      </c>
      <c r="M21" s="375"/>
    </row>
    <row r="22" spans="1:13" ht="17.25" customHeight="1">
      <c r="A22" s="1075"/>
      <c r="B22" s="739" t="s">
        <v>1355</v>
      </c>
      <c r="C22" s="831">
        <v>7130810026</v>
      </c>
      <c r="D22" s="870" t="s">
        <v>745</v>
      </c>
      <c r="E22" s="706">
        <f>VLOOKUP(C22,'SOR RATE'!A182:D182,4,0)</f>
        <v>155.99</v>
      </c>
      <c r="F22" s="886">
        <v>12</v>
      </c>
      <c r="G22" s="887">
        <f t="shared" si="0"/>
        <v>1871.88</v>
      </c>
      <c r="H22" s="886">
        <v>12</v>
      </c>
      <c r="I22" s="887">
        <f t="shared" si="1"/>
        <v>1871.88</v>
      </c>
      <c r="J22" s="886">
        <v>12</v>
      </c>
      <c r="K22" s="887">
        <f t="shared" si="2"/>
        <v>1871.88</v>
      </c>
      <c r="M22" s="375"/>
    </row>
    <row r="23" spans="1:13" ht="81.75" customHeight="1">
      <c r="A23" s="740">
        <v>8</v>
      </c>
      <c r="B23" s="704" t="s">
        <v>1765</v>
      </c>
      <c r="C23" s="888">
        <v>7130200202</v>
      </c>
      <c r="D23" s="736" t="s">
        <v>1753</v>
      </c>
      <c r="E23" s="706">
        <f>VLOOKUP(C23,'SOR RATE'!A:D,4,0)</f>
        <v>2510.8</v>
      </c>
      <c r="F23" s="886"/>
      <c r="G23" s="887"/>
      <c r="H23" s="886">
        <f>(20*0.35)+(12*0.2)</f>
        <v>9.4</v>
      </c>
      <c r="I23" s="887">
        <f>E23*H23</f>
        <v>23601.520000000004</v>
      </c>
      <c r="J23" s="886">
        <f>(20*0.55)+(12*0.2)</f>
        <v>13.4</v>
      </c>
      <c r="K23" s="887">
        <f>E23*J23</f>
        <v>33644.72</v>
      </c>
      <c r="L23" s="612" t="s">
        <v>1896</v>
      </c>
      <c r="M23" s="375"/>
    </row>
    <row r="24" spans="1:13" ht="36.75" customHeight="1">
      <c r="A24" s="1073">
        <v>9</v>
      </c>
      <c r="B24" s="739" t="s">
        <v>1766</v>
      </c>
      <c r="C24" s="888"/>
      <c r="D24" s="736"/>
      <c r="E24" s="706"/>
      <c r="F24" s="886">
        <f>20+12</f>
        <v>32</v>
      </c>
      <c r="G24" s="887"/>
      <c r="H24" s="886"/>
      <c r="I24" s="887"/>
      <c r="J24" s="886"/>
      <c r="K24" s="887"/>
      <c r="L24" s="32"/>
      <c r="M24" s="375"/>
    </row>
    <row r="25" spans="1:13" ht="20.25" customHeight="1">
      <c r="A25" s="1075"/>
      <c r="B25" s="889" t="s">
        <v>1758</v>
      </c>
      <c r="C25" s="888">
        <v>7130640008</v>
      </c>
      <c r="D25" s="705" t="s">
        <v>926</v>
      </c>
      <c r="E25" s="706">
        <f>VLOOKUP(C25,'SOR RATE'!A:D,4,0)</f>
        <v>158</v>
      </c>
      <c r="F25" s="886">
        <f>20+(12*2)</f>
        <v>44</v>
      </c>
      <c r="G25" s="887">
        <f>E25*F25</f>
        <v>6952</v>
      </c>
      <c r="H25" s="886"/>
      <c r="I25" s="887"/>
      <c r="J25" s="886"/>
      <c r="K25" s="887"/>
      <c r="L25" s="608" t="s">
        <v>1893</v>
      </c>
      <c r="M25" s="609"/>
    </row>
    <row r="26" spans="1:11" ht="15.75">
      <c r="A26" s="1073">
        <v>10</v>
      </c>
      <c r="B26" s="739" t="s">
        <v>908</v>
      </c>
      <c r="C26" s="888"/>
      <c r="D26" s="736" t="s">
        <v>907</v>
      </c>
      <c r="E26" s="738"/>
      <c r="F26" s="886">
        <v>30</v>
      </c>
      <c r="G26" s="886"/>
      <c r="H26" s="886">
        <v>30</v>
      </c>
      <c r="I26" s="886"/>
      <c r="J26" s="886">
        <v>30</v>
      </c>
      <c r="K26" s="890"/>
    </row>
    <row r="27" spans="1:13" ht="19.5" customHeight="1">
      <c r="A27" s="1074"/>
      <c r="B27" s="829" t="s">
        <v>306</v>
      </c>
      <c r="C27" s="888">
        <v>7130620573</v>
      </c>
      <c r="D27" s="736" t="s">
        <v>907</v>
      </c>
      <c r="E27" s="706">
        <f>VLOOKUP(C27,'SOR RATE'!A:D,4,0)</f>
        <v>69.38</v>
      </c>
      <c r="F27" s="886">
        <v>2</v>
      </c>
      <c r="G27" s="887">
        <f aca="true" t="shared" si="3" ref="G27:G40">F27*E27</f>
        <v>138.76</v>
      </c>
      <c r="H27" s="886">
        <v>2</v>
      </c>
      <c r="I27" s="887">
        <f aca="true" t="shared" si="4" ref="I27:I40">H27*E27</f>
        <v>138.76</v>
      </c>
      <c r="J27" s="886">
        <v>2</v>
      </c>
      <c r="K27" s="887">
        <f aca="true" t="shared" si="5" ref="K27:K40">J27*E27</f>
        <v>138.76</v>
      </c>
      <c r="M27" s="375"/>
    </row>
    <row r="28" spans="1:13" ht="17.25" customHeight="1">
      <c r="A28" s="1074"/>
      <c r="B28" s="829" t="s">
        <v>13</v>
      </c>
      <c r="C28" s="888">
        <v>7130620609</v>
      </c>
      <c r="D28" s="736" t="s">
        <v>907</v>
      </c>
      <c r="E28" s="706">
        <f>VLOOKUP(C28,'SOR RATE'!A:D,4,0)</f>
        <v>69.38</v>
      </c>
      <c r="F28" s="886">
        <v>14</v>
      </c>
      <c r="G28" s="887">
        <f t="shared" si="3"/>
        <v>971.3199999999999</v>
      </c>
      <c r="H28" s="886">
        <v>14</v>
      </c>
      <c r="I28" s="887">
        <f t="shared" si="4"/>
        <v>971.3199999999999</v>
      </c>
      <c r="J28" s="886">
        <v>14</v>
      </c>
      <c r="K28" s="887">
        <f t="shared" si="5"/>
        <v>971.3199999999999</v>
      </c>
      <c r="M28" s="375"/>
    </row>
    <row r="29" spans="1:13" ht="21" customHeight="1">
      <c r="A29" s="1075"/>
      <c r="B29" s="829" t="s">
        <v>1226</v>
      </c>
      <c r="C29" s="828">
        <v>7130620614</v>
      </c>
      <c r="D29" s="736" t="s">
        <v>907</v>
      </c>
      <c r="E29" s="706">
        <f>VLOOKUP(C29,'SOR RATE'!A:D,4,0)</f>
        <v>68.22</v>
      </c>
      <c r="F29" s="886">
        <v>14</v>
      </c>
      <c r="G29" s="887">
        <f t="shared" si="3"/>
        <v>955.0799999999999</v>
      </c>
      <c r="H29" s="886">
        <v>14</v>
      </c>
      <c r="I29" s="887">
        <f t="shared" si="4"/>
        <v>955.0799999999999</v>
      </c>
      <c r="J29" s="886">
        <v>14</v>
      </c>
      <c r="K29" s="887">
        <f t="shared" si="5"/>
        <v>955.0799999999999</v>
      </c>
      <c r="M29" s="375"/>
    </row>
    <row r="30" spans="1:13" ht="20.25" customHeight="1">
      <c r="A30" s="740">
        <v>11</v>
      </c>
      <c r="B30" s="820" t="s">
        <v>1446</v>
      </c>
      <c r="C30" s="888">
        <v>7130870013</v>
      </c>
      <c r="D30" s="736" t="s">
        <v>19</v>
      </c>
      <c r="E30" s="706">
        <f>VLOOKUP(C30,'SOR RATE'!A:D,4,0)</f>
        <v>114.85</v>
      </c>
      <c r="F30" s="886">
        <v>20</v>
      </c>
      <c r="G30" s="887">
        <f t="shared" si="3"/>
        <v>2297</v>
      </c>
      <c r="H30" s="886">
        <v>20</v>
      </c>
      <c r="I30" s="887">
        <f t="shared" si="4"/>
        <v>2297</v>
      </c>
      <c r="J30" s="886">
        <v>20</v>
      </c>
      <c r="K30" s="887">
        <f t="shared" si="5"/>
        <v>2297</v>
      </c>
      <c r="M30" s="375"/>
    </row>
    <row r="31" spans="1:13" ht="20.25" customHeight="1">
      <c r="A31" s="740">
        <v>12</v>
      </c>
      <c r="B31" s="820" t="s">
        <v>1474</v>
      </c>
      <c r="C31" s="888">
        <v>7131950012</v>
      </c>
      <c r="D31" s="736" t="s">
        <v>19</v>
      </c>
      <c r="E31" s="706">
        <f>VLOOKUP(C31,'SOR RATE'!A:D,4,0)</f>
        <v>1193.13</v>
      </c>
      <c r="F31" s="886">
        <v>15</v>
      </c>
      <c r="G31" s="887">
        <f t="shared" si="3"/>
        <v>17896.95</v>
      </c>
      <c r="H31" s="886">
        <v>15</v>
      </c>
      <c r="I31" s="887">
        <f t="shared" si="4"/>
        <v>17896.95</v>
      </c>
      <c r="J31" s="886">
        <v>15</v>
      </c>
      <c r="K31" s="887">
        <f t="shared" si="5"/>
        <v>17896.95</v>
      </c>
      <c r="M31" s="375"/>
    </row>
    <row r="32" spans="1:12" ht="32.25" customHeight="1">
      <c r="A32" s="736">
        <v>13</v>
      </c>
      <c r="B32" s="739" t="s">
        <v>1475</v>
      </c>
      <c r="C32" s="888">
        <v>7130890973</v>
      </c>
      <c r="D32" s="736" t="s">
        <v>748</v>
      </c>
      <c r="E32" s="706">
        <f>VLOOKUP(C32,'SOR RATE'!A:D,4,0)</f>
        <v>58.95</v>
      </c>
      <c r="F32" s="886">
        <v>15</v>
      </c>
      <c r="G32" s="887">
        <f>F32*E32</f>
        <v>884.25</v>
      </c>
      <c r="H32" s="886">
        <v>15</v>
      </c>
      <c r="I32" s="887">
        <f>H32*E32</f>
        <v>884.25</v>
      </c>
      <c r="J32" s="886">
        <v>15</v>
      </c>
      <c r="K32" s="887">
        <f>J32*E32</f>
        <v>884.25</v>
      </c>
      <c r="L32" s="377"/>
    </row>
    <row r="33" spans="1:13" ht="18.75" customHeight="1">
      <c r="A33" s="736">
        <v>14</v>
      </c>
      <c r="B33" s="739" t="s">
        <v>904</v>
      </c>
      <c r="C33" s="828">
        <v>7130211158</v>
      </c>
      <c r="D33" s="736" t="s">
        <v>905</v>
      </c>
      <c r="E33" s="706">
        <f>VLOOKUP(C33,'SOR RATE'!A:D,4,0)</f>
        <v>146.77</v>
      </c>
      <c r="F33" s="736">
        <v>0</v>
      </c>
      <c r="G33" s="887">
        <f t="shared" si="3"/>
        <v>0</v>
      </c>
      <c r="H33" s="736">
        <v>10</v>
      </c>
      <c r="I33" s="887">
        <f t="shared" si="4"/>
        <v>1467.7</v>
      </c>
      <c r="J33" s="736">
        <v>10</v>
      </c>
      <c r="K33" s="887">
        <f t="shared" si="5"/>
        <v>1467.7</v>
      </c>
      <c r="L33" s="500"/>
      <c r="M33" s="299"/>
    </row>
    <row r="34" spans="1:13" ht="18.75" customHeight="1">
      <c r="A34" s="736">
        <v>15</v>
      </c>
      <c r="B34" s="739" t="s">
        <v>906</v>
      </c>
      <c r="C34" s="828">
        <v>7130210809</v>
      </c>
      <c r="D34" s="736" t="s">
        <v>905</v>
      </c>
      <c r="E34" s="706">
        <f>VLOOKUP(C34,'SOR RATE'!A:D,4,0)</f>
        <v>327.94</v>
      </c>
      <c r="F34" s="736">
        <v>0</v>
      </c>
      <c r="G34" s="887">
        <f t="shared" si="3"/>
        <v>0</v>
      </c>
      <c r="H34" s="736">
        <v>10</v>
      </c>
      <c r="I34" s="887">
        <f t="shared" si="4"/>
        <v>3279.4</v>
      </c>
      <c r="J34" s="736">
        <v>10</v>
      </c>
      <c r="K34" s="887">
        <f t="shared" si="5"/>
        <v>3279.4</v>
      </c>
      <c r="L34" s="500"/>
      <c r="M34" s="299"/>
    </row>
    <row r="35" spans="1:13" ht="20.25" customHeight="1">
      <c r="A35" s="736">
        <v>16</v>
      </c>
      <c r="B35" s="739" t="s">
        <v>737</v>
      </c>
      <c r="C35" s="828">
        <v>7130810102</v>
      </c>
      <c r="D35" s="736" t="s">
        <v>19</v>
      </c>
      <c r="E35" s="706">
        <f>VLOOKUP(C35,'SOR RATE'!A:D,4,0)</f>
        <v>344.82</v>
      </c>
      <c r="F35" s="736">
        <v>20</v>
      </c>
      <c r="G35" s="887">
        <f t="shared" si="3"/>
        <v>6896.4</v>
      </c>
      <c r="H35" s="736">
        <v>20</v>
      </c>
      <c r="I35" s="887">
        <f t="shared" si="4"/>
        <v>6896.4</v>
      </c>
      <c r="J35" s="736">
        <v>20</v>
      </c>
      <c r="K35" s="887">
        <f t="shared" si="5"/>
        <v>6896.4</v>
      </c>
      <c r="L35" s="500"/>
      <c r="M35" s="299"/>
    </row>
    <row r="36" spans="1:12" ht="33" customHeight="1">
      <c r="A36" s="736">
        <v>17</v>
      </c>
      <c r="B36" s="739" t="s">
        <v>1476</v>
      </c>
      <c r="C36" s="828">
        <v>7130311008</v>
      </c>
      <c r="D36" s="736" t="s">
        <v>980</v>
      </c>
      <c r="E36" s="706">
        <f>VLOOKUP(C36,'SOR RATE'!A:D,4,0)/1000</f>
        <v>18.17464</v>
      </c>
      <c r="F36" s="736">
        <v>90</v>
      </c>
      <c r="G36" s="887">
        <f t="shared" si="3"/>
        <v>1635.7176</v>
      </c>
      <c r="H36" s="736">
        <v>90</v>
      </c>
      <c r="I36" s="887">
        <f t="shared" si="4"/>
        <v>1635.7176</v>
      </c>
      <c r="J36" s="736">
        <v>90</v>
      </c>
      <c r="K36" s="887">
        <f t="shared" si="5"/>
        <v>1635.7176</v>
      </c>
      <c r="L36" s="377"/>
    </row>
    <row r="37" spans="1:13" ht="20.25" customHeight="1">
      <c r="A37" s="736">
        <v>18</v>
      </c>
      <c r="B37" s="739" t="s">
        <v>738</v>
      </c>
      <c r="C37" s="828">
        <v>7130390007</v>
      </c>
      <c r="D37" s="736" t="s">
        <v>19</v>
      </c>
      <c r="E37" s="706">
        <f>VLOOKUP(C37,'SOR RATE'!A:D,4,0)</f>
        <v>169.29</v>
      </c>
      <c r="F37" s="736">
        <v>4</v>
      </c>
      <c r="G37" s="887">
        <f t="shared" si="3"/>
        <v>677.16</v>
      </c>
      <c r="H37" s="736">
        <v>4</v>
      </c>
      <c r="I37" s="887">
        <f t="shared" si="4"/>
        <v>677.16</v>
      </c>
      <c r="J37" s="736">
        <v>4</v>
      </c>
      <c r="K37" s="887">
        <f t="shared" si="5"/>
        <v>677.16</v>
      </c>
      <c r="L37" s="299"/>
      <c r="M37" s="378"/>
    </row>
    <row r="38" spans="1:13" ht="19.5" customHeight="1">
      <c r="A38" s="736">
        <v>19</v>
      </c>
      <c r="B38" s="739" t="s">
        <v>739</v>
      </c>
      <c r="C38" s="828">
        <v>7130390019</v>
      </c>
      <c r="D38" s="736" t="s">
        <v>19</v>
      </c>
      <c r="E38" s="706">
        <f>VLOOKUP(C38,'SOR RATE'!A:D,4,0)</f>
        <v>28.93</v>
      </c>
      <c r="F38" s="736">
        <v>14</v>
      </c>
      <c r="G38" s="887">
        <f t="shared" si="3"/>
        <v>405.02</v>
      </c>
      <c r="H38" s="736">
        <v>14</v>
      </c>
      <c r="I38" s="887">
        <f t="shared" si="4"/>
        <v>405.02</v>
      </c>
      <c r="J38" s="736">
        <v>14</v>
      </c>
      <c r="K38" s="887">
        <f t="shared" si="5"/>
        <v>405.02</v>
      </c>
      <c r="L38" s="299"/>
      <c r="M38" s="378"/>
    </row>
    <row r="39" spans="1:12" ht="32.25" customHeight="1">
      <c r="A39" s="736">
        <v>20</v>
      </c>
      <c r="B39" s="739" t="s">
        <v>1360</v>
      </c>
      <c r="C39" s="828">
        <v>7130320053</v>
      </c>
      <c r="D39" s="736" t="s">
        <v>19</v>
      </c>
      <c r="E39" s="706">
        <f>VLOOKUP(C39,'SOR RATE'!A:D,4,0)</f>
        <v>5.38</v>
      </c>
      <c r="F39" s="736">
        <v>530</v>
      </c>
      <c r="G39" s="887">
        <f t="shared" si="3"/>
        <v>2851.4</v>
      </c>
      <c r="H39" s="736">
        <v>530</v>
      </c>
      <c r="I39" s="887">
        <f t="shared" si="4"/>
        <v>2851.4</v>
      </c>
      <c r="J39" s="736">
        <v>530</v>
      </c>
      <c r="K39" s="887">
        <f t="shared" si="5"/>
        <v>2851.4</v>
      </c>
      <c r="L39" s="378"/>
    </row>
    <row r="40" spans="1:13" ht="21" customHeight="1">
      <c r="A40" s="736">
        <v>21</v>
      </c>
      <c r="B40" s="739" t="s">
        <v>1477</v>
      </c>
      <c r="C40" s="828">
        <v>7130610206</v>
      </c>
      <c r="D40" s="736" t="s">
        <v>907</v>
      </c>
      <c r="E40" s="706">
        <f>VLOOKUP(C40,'SOR RATE'!A:D,4,0)/1000</f>
        <v>76.07503</v>
      </c>
      <c r="F40" s="736">
        <v>40</v>
      </c>
      <c r="G40" s="887">
        <f t="shared" si="3"/>
        <v>3043.0011999999997</v>
      </c>
      <c r="H40" s="736">
        <v>40</v>
      </c>
      <c r="I40" s="887">
        <f t="shared" si="4"/>
        <v>3043.0011999999997</v>
      </c>
      <c r="J40" s="736">
        <v>40</v>
      </c>
      <c r="K40" s="887">
        <f t="shared" si="5"/>
        <v>3043.0011999999997</v>
      </c>
      <c r="L40" s="299"/>
      <c r="M40" s="400"/>
    </row>
    <row r="41" spans="1:12" ht="18" customHeight="1">
      <c r="A41" s="516">
        <v>22</v>
      </c>
      <c r="B41" s="703" t="s">
        <v>566</v>
      </c>
      <c r="C41" s="828"/>
      <c r="D41" s="830"/>
      <c r="E41" s="736"/>
      <c r="F41" s="518"/>
      <c r="G41" s="518">
        <f>SUM(G10:G40)</f>
        <v>214315.28588000004</v>
      </c>
      <c r="H41" s="518"/>
      <c r="I41" s="518">
        <f>SUM(I10:I40)</f>
        <v>353474.7254864001</v>
      </c>
      <c r="J41" s="518"/>
      <c r="K41" s="518">
        <f>SUM(K10:K40)</f>
        <v>510536.21652000013</v>
      </c>
      <c r="L41" s="299"/>
    </row>
    <row r="42" spans="1:13" ht="19.5" customHeight="1">
      <c r="A42" s="736">
        <v>23</v>
      </c>
      <c r="B42" s="707" t="s">
        <v>565</v>
      </c>
      <c r="C42" s="891"/>
      <c r="D42" s="892"/>
      <c r="E42" s="828">
        <v>0.09</v>
      </c>
      <c r="F42" s="828"/>
      <c r="G42" s="738">
        <f>G41*E42</f>
        <v>19288.375729200005</v>
      </c>
      <c r="H42" s="828"/>
      <c r="I42" s="738">
        <f>I41*E42</f>
        <v>31812.725293776006</v>
      </c>
      <c r="J42" s="828"/>
      <c r="K42" s="738">
        <f>K41*E42</f>
        <v>45948.25948680001</v>
      </c>
      <c r="L42" s="379"/>
      <c r="M42" s="380"/>
    </row>
    <row r="43" spans="1:11" ht="18.75" customHeight="1">
      <c r="A43" s="714">
        <v>24</v>
      </c>
      <c r="B43" s="739" t="s">
        <v>1478</v>
      </c>
      <c r="C43" s="893"/>
      <c r="D43" s="736" t="s">
        <v>749</v>
      </c>
      <c r="E43" s="894">
        <f>97*1.11*1.086275*1.1112*1.0685*1.06217*1.059*1.2778</f>
        <v>199.5970562453939</v>
      </c>
      <c r="F43" s="737">
        <v>20</v>
      </c>
      <c r="G43" s="738">
        <f>E43*F43</f>
        <v>3991.941124907878</v>
      </c>
      <c r="H43" s="736"/>
      <c r="I43" s="738"/>
      <c r="J43" s="738"/>
      <c r="K43" s="738"/>
    </row>
    <row r="44" spans="1:17" ht="19.5" customHeight="1">
      <c r="A44" s="702" t="s">
        <v>1769</v>
      </c>
      <c r="B44" s="829" t="s">
        <v>1746</v>
      </c>
      <c r="C44" s="831"/>
      <c r="D44" s="702" t="s">
        <v>903</v>
      </c>
      <c r="E44" s="894">
        <f>453*1.2778</f>
        <v>578.8434</v>
      </c>
      <c r="F44" s="886"/>
      <c r="G44" s="738"/>
      <c r="H44" s="886">
        <f>(20*0.35)+(12*0.2)</f>
        <v>9.4</v>
      </c>
      <c r="I44" s="738">
        <f>H44*E44</f>
        <v>5441.12796</v>
      </c>
      <c r="J44" s="886">
        <f>(20*0.55)+(12*0.2)</f>
        <v>13.4</v>
      </c>
      <c r="K44" s="738">
        <f>J44*E44</f>
        <v>7756.50156</v>
      </c>
      <c r="L44" s="581"/>
      <c r="P44" s="381"/>
      <c r="Q44" s="382"/>
    </row>
    <row r="45" spans="1:12" ht="18.75" customHeight="1">
      <c r="A45" s="736">
        <v>26</v>
      </c>
      <c r="B45" s="739" t="s">
        <v>1479</v>
      </c>
      <c r="C45" s="831"/>
      <c r="D45" s="894"/>
      <c r="E45" s="740"/>
      <c r="F45" s="705"/>
      <c r="G45" s="894">
        <f>45357.41*1.2778</f>
        <v>57957.698498000005</v>
      </c>
      <c r="H45" s="740"/>
      <c r="I45" s="894">
        <f>52227.01*1.2778</f>
        <v>66735.673378</v>
      </c>
      <c r="J45" s="705"/>
      <c r="K45" s="894">
        <f>54775.99*1.2778</f>
        <v>69992.760022</v>
      </c>
      <c r="L45" s="542"/>
    </row>
    <row r="46" spans="1:13" ht="18.75" customHeight="1">
      <c r="A46" s="736">
        <v>27</v>
      </c>
      <c r="B46" s="739" t="s">
        <v>568</v>
      </c>
      <c r="C46" s="831"/>
      <c r="D46" s="894"/>
      <c r="E46" s="740"/>
      <c r="F46" s="705"/>
      <c r="G46" s="706">
        <f>(12388.56*1.88%)+12388.56</f>
        <v>12621.464928</v>
      </c>
      <c r="H46" s="740"/>
      <c r="I46" s="706">
        <f>(13534.41*1.88%)+13534.41</f>
        <v>13788.856908</v>
      </c>
      <c r="J46" s="705"/>
      <c r="K46" s="706">
        <f>(13534.41*1.88%)+13534.41</f>
        <v>13788.856908</v>
      </c>
      <c r="L46" s="622"/>
      <c r="M46" s="295"/>
    </row>
    <row r="47" spans="1:12" ht="18.75" customHeight="1">
      <c r="A47" s="516">
        <v>28</v>
      </c>
      <c r="B47" s="703" t="s">
        <v>567</v>
      </c>
      <c r="C47" s="831"/>
      <c r="D47" s="894"/>
      <c r="E47" s="740"/>
      <c r="F47" s="547"/>
      <c r="G47" s="715">
        <f>G41+G42+G43+G44+G45+G46</f>
        <v>308174.7661601079</v>
      </c>
      <c r="H47" s="523"/>
      <c r="I47" s="715">
        <f>I41+I42+I43+I44+I45+I46</f>
        <v>471253.1090261761</v>
      </c>
      <c r="J47" s="547"/>
      <c r="K47" s="715">
        <f>K41+K42+K43+K44+K45+K46</f>
        <v>648022.5944968002</v>
      </c>
      <c r="L47" s="383"/>
    </row>
    <row r="48" spans="1:12" ht="35.25" customHeight="1">
      <c r="A48" s="736">
        <v>29</v>
      </c>
      <c r="B48" s="707" t="s">
        <v>1747</v>
      </c>
      <c r="C48" s="831"/>
      <c r="D48" s="894"/>
      <c r="E48" s="740">
        <v>0.125</v>
      </c>
      <c r="F48" s="705"/>
      <c r="G48" s="894">
        <f>G41*E48</f>
        <v>26789.410735000005</v>
      </c>
      <c r="H48" s="740"/>
      <c r="I48" s="894">
        <f>I41*E48</f>
        <v>44184.34068580001</v>
      </c>
      <c r="J48" s="705"/>
      <c r="K48" s="894">
        <f>K41*E48</f>
        <v>63817.02706500002</v>
      </c>
      <c r="L48" s="570"/>
    </row>
    <row r="49" spans="1:11" ht="21" customHeight="1">
      <c r="A49" s="736">
        <v>30</v>
      </c>
      <c r="B49" s="739" t="s">
        <v>1411</v>
      </c>
      <c r="C49" s="831"/>
      <c r="D49" s="738"/>
      <c r="E49" s="736"/>
      <c r="F49" s="738"/>
      <c r="G49" s="738">
        <f>G47+G48</f>
        <v>334964.1768951079</v>
      </c>
      <c r="H49" s="738"/>
      <c r="I49" s="738">
        <f>I47+I48</f>
        <v>515437.4497119761</v>
      </c>
      <c r="J49" s="738"/>
      <c r="K49" s="738">
        <f>K47+K48</f>
        <v>711839.6215618002</v>
      </c>
    </row>
    <row r="50" spans="1:11" ht="34.5" customHeight="1">
      <c r="A50" s="516">
        <v>31</v>
      </c>
      <c r="B50" s="717" t="s">
        <v>1412</v>
      </c>
      <c r="C50" s="833"/>
      <c r="D50" s="518"/>
      <c r="E50" s="516"/>
      <c r="F50" s="736"/>
      <c r="G50" s="518">
        <f>ROUND(G49,0)</f>
        <v>334964</v>
      </c>
      <c r="H50" s="736"/>
      <c r="I50" s="518">
        <f>ROUND(I49,0)</f>
        <v>515437</v>
      </c>
      <c r="J50" s="736"/>
      <c r="K50" s="518">
        <f>ROUND(K49,0)</f>
        <v>711840</v>
      </c>
    </row>
    <row r="51" spans="1:9" ht="9.75" customHeight="1">
      <c r="A51" s="384"/>
      <c r="B51" s="385"/>
      <c r="C51" s="386"/>
      <c r="D51" s="385"/>
      <c r="E51" s="385"/>
      <c r="F51" s="385"/>
      <c r="G51" s="385"/>
      <c r="H51" s="385"/>
      <c r="I51" s="387"/>
    </row>
    <row r="52" spans="1:11" ht="18" customHeight="1">
      <c r="A52" s="388"/>
      <c r="B52" s="1132" t="s">
        <v>1480</v>
      </c>
      <c r="C52" s="1133"/>
      <c r="D52" s="385"/>
      <c r="E52" s="385"/>
      <c r="F52" s="389"/>
      <c r="G52" s="389"/>
      <c r="H52" s="389"/>
      <c r="I52" s="389"/>
      <c r="J52" s="556"/>
      <c r="K52" s="556"/>
    </row>
    <row r="53" spans="1:9" ht="18">
      <c r="A53" s="495" t="s">
        <v>982</v>
      </c>
      <c r="B53" s="52" t="s">
        <v>1749</v>
      </c>
      <c r="C53" s="3"/>
      <c r="D53" s="3"/>
      <c r="E53" s="3"/>
      <c r="F53" s="3"/>
      <c r="G53" s="3"/>
      <c r="H53" s="385"/>
      <c r="I53" s="385"/>
    </row>
    <row r="54" spans="1:11" ht="14.25">
      <c r="A54" s="384"/>
      <c r="B54" s="385"/>
      <c r="C54" s="385"/>
      <c r="D54" s="385"/>
      <c r="E54" s="385"/>
      <c r="F54" s="390"/>
      <c r="G54" s="390"/>
      <c r="H54" s="390"/>
      <c r="I54" s="390"/>
      <c r="J54" s="390"/>
      <c r="K54" s="390"/>
    </row>
    <row r="55" spans="1:9" ht="14.25">
      <c r="A55" s="384"/>
      <c r="B55" s="385"/>
      <c r="C55" s="385"/>
      <c r="D55" s="385"/>
      <c r="E55" s="385"/>
      <c r="F55" s="385"/>
      <c r="G55" s="385"/>
      <c r="H55" s="385"/>
      <c r="I55" s="385"/>
    </row>
    <row r="56" spans="1:9" ht="14.25">
      <c r="A56" s="384"/>
      <c r="B56" s="391"/>
      <c r="C56" s="392"/>
      <c r="D56" s="392"/>
      <c r="E56" s="393"/>
      <c r="F56" s="393"/>
      <c r="G56" s="393"/>
      <c r="H56" s="385"/>
      <c r="I56" s="385"/>
    </row>
    <row r="57" spans="1:9" ht="14.25">
      <c r="A57" s="384"/>
      <c r="B57" s="385"/>
      <c r="C57" s="385"/>
      <c r="D57" s="385"/>
      <c r="E57" s="385"/>
      <c r="F57" s="385"/>
      <c r="G57" s="385"/>
      <c r="H57" s="385"/>
      <c r="I57" s="385"/>
    </row>
    <row r="58" spans="1:9" ht="14.25">
      <c r="A58" s="384"/>
      <c r="B58" s="385"/>
      <c r="C58" s="385"/>
      <c r="D58" s="385"/>
      <c r="E58" s="385"/>
      <c r="F58" s="385"/>
      <c r="G58" s="385"/>
      <c r="H58" s="385"/>
      <c r="I58" s="385"/>
    </row>
    <row r="59" spans="1:9" ht="14.25">
      <c r="A59" s="384"/>
      <c r="B59" s="385"/>
      <c r="C59" s="385"/>
      <c r="D59" s="385"/>
      <c r="E59" s="385"/>
      <c r="F59" s="385"/>
      <c r="G59" s="385"/>
      <c r="H59" s="385"/>
      <c r="I59" s="385"/>
    </row>
    <row r="60" spans="1:9" ht="14.25">
      <c r="A60" s="384"/>
      <c r="B60" s="385"/>
      <c r="C60" s="385"/>
      <c r="D60" s="385"/>
      <c r="E60" s="385"/>
      <c r="F60" s="385"/>
      <c r="G60" s="385"/>
      <c r="H60" s="385"/>
      <c r="I60" s="385"/>
    </row>
    <row r="61" spans="1:9" ht="14.25">
      <c r="A61" s="384"/>
      <c r="B61" s="385"/>
      <c r="C61" s="385"/>
      <c r="D61" s="385"/>
      <c r="E61" s="385"/>
      <c r="F61" s="385"/>
      <c r="G61" s="385"/>
      <c r="H61" s="385"/>
      <c r="I61" s="385"/>
    </row>
    <row r="62" spans="1:9" ht="14.25">
      <c r="A62" s="384"/>
      <c r="B62" s="385"/>
      <c r="C62" s="385"/>
      <c r="D62" s="385"/>
      <c r="E62" s="385"/>
      <c r="F62" s="385"/>
      <c r="G62" s="385"/>
      <c r="H62" s="385"/>
      <c r="I62" s="385"/>
    </row>
    <row r="63" spans="1:9" ht="14.25">
      <c r="A63" s="384"/>
      <c r="B63" s="385"/>
      <c r="C63" s="385"/>
      <c r="D63" s="385"/>
      <c r="E63" s="385"/>
      <c r="F63" s="385"/>
      <c r="G63" s="385"/>
      <c r="H63" s="385"/>
      <c r="I63" s="385"/>
    </row>
    <row r="64" spans="1:9" ht="14.25">
      <c r="A64" s="384"/>
      <c r="B64" s="385"/>
      <c r="C64" s="385"/>
      <c r="D64" s="385"/>
      <c r="E64" s="385"/>
      <c r="F64" s="385"/>
      <c r="G64" s="385"/>
      <c r="H64" s="385"/>
      <c r="I64" s="385"/>
    </row>
    <row r="65" spans="1:9" ht="14.25">
      <c r="A65" s="384"/>
      <c r="B65" s="385"/>
      <c r="C65" s="385"/>
      <c r="D65" s="385"/>
      <c r="E65" s="385"/>
      <c r="F65" s="385"/>
      <c r="G65" s="385"/>
      <c r="H65" s="385"/>
      <c r="I65" s="385"/>
    </row>
    <row r="66" spans="1:9" ht="14.25">
      <c r="A66" s="384"/>
      <c r="B66" s="385"/>
      <c r="C66" s="385"/>
      <c r="D66" s="385"/>
      <c r="E66" s="385"/>
      <c r="F66" s="385"/>
      <c r="G66" s="385"/>
      <c r="H66" s="385"/>
      <c r="I66" s="385"/>
    </row>
    <row r="67" spans="1:9" ht="14.25">
      <c r="A67" s="384"/>
      <c r="B67" s="385"/>
      <c r="C67" s="385"/>
      <c r="D67" s="385"/>
      <c r="E67" s="385"/>
      <c r="F67" s="385"/>
      <c r="G67" s="385"/>
      <c r="H67" s="385"/>
      <c r="I67" s="385"/>
    </row>
    <row r="68" spans="1:9" ht="14.25">
      <c r="A68" s="384"/>
      <c r="B68" s="385"/>
      <c r="C68" s="385"/>
      <c r="D68" s="385"/>
      <c r="E68" s="385"/>
      <c r="F68" s="385"/>
      <c r="G68" s="385"/>
      <c r="H68" s="385"/>
      <c r="I68" s="385"/>
    </row>
    <row r="69" spans="1:9" ht="14.25">
      <c r="A69" s="384"/>
      <c r="B69" s="385"/>
      <c r="C69" s="385"/>
      <c r="D69" s="385"/>
      <c r="E69" s="385"/>
      <c r="F69" s="385"/>
      <c r="G69" s="385"/>
      <c r="H69" s="385"/>
      <c r="I69" s="385"/>
    </row>
    <row r="70" spans="1:9" ht="14.25">
      <c r="A70" s="384"/>
      <c r="B70" s="385"/>
      <c r="C70" s="385"/>
      <c r="D70" s="385"/>
      <c r="E70" s="385"/>
      <c r="F70" s="385"/>
      <c r="G70" s="385"/>
      <c r="H70" s="385"/>
      <c r="I70" s="385"/>
    </row>
    <row r="71" spans="1:9" ht="14.25">
      <c r="A71" s="384"/>
      <c r="B71" s="385"/>
      <c r="C71" s="385"/>
      <c r="D71" s="385"/>
      <c r="E71" s="385"/>
      <c r="F71" s="385"/>
      <c r="G71" s="385"/>
      <c r="H71" s="385"/>
      <c r="I71" s="385"/>
    </row>
    <row r="72" spans="1:9" ht="14.25">
      <c r="A72" s="384"/>
      <c r="B72" s="385"/>
      <c r="C72" s="385"/>
      <c r="D72" s="385"/>
      <c r="E72" s="385"/>
      <c r="F72" s="385"/>
      <c r="G72" s="385"/>
      <c r="H72" s="385"/>
      <c r="I72" s="385"/>
    </row>
    <row r="73" spans="1:9" ht="14.25">
      <c r="A73" s="384"/>
      <c r="B73" s="385"/>
      <c r="C73" s="385"/>
      <c r="D73" s="385"/>
      <c r="E73" s="385"/>
      <c r="F73" s="385"/>
      <c r="G73" s="385"/>
      <c r="H73" s="385"/>
      <c r="I73" s="385"/>
    </row>
    <row r="74" spans="1:9" ht="14.25">
      <c r="A74" s="384"/>
      <c r="B74" s="385"/>
      <c r="C74" s="385"/>
      <c r="D74" s="385"/>
      <c r="E74" s="385"/>
      <c r="F74" s="385"/>
      <c r="G74" s="385"/>
      <c r="H74" s="385"/>
      <c r="I74" s="385"/>
    </row>
    <row r="75" spans="1:9" ht="14.25">
      <c r="A75" s="384"/>
      <c r="B75" s="385"/>
      <c r="C75" s="385"/>
      <c r="D75" s="385"/>
      <c r="E75" s="385"/>
      <c r="F75" s="385"/>
      <c r="G75" s="385"/>
      <c r="H75" s="385"/>
      <c r="I75" s="385"/>
    </row>
    <row r="76" spans="1:9" ht="14.25">
      <c r="A76" s="384"/>
      <c r="B76" s="385"/>
      <c r="C76" s="385"/>
      <c r="D76" s="385"/>
      <c r="E76" s="385"/>
      <c r="F76" s="385"/>
      <c r="G76" s="385"/>
      <c r="H76" s="385"/>
      <c r="I76" s="385"/>
    </row>
    <row r="77" spans="1:9" ht="14.25">
      <c r="A77" s="384"/>
      <c r="B77" s="385"/>
      <c r="C77" s="385"/>
      <c r="D77" s="385"/>
      <c r="E77" s="385"/>
      <c r="F77" s="385"/>
      <c r="G77" s="385"/>
      <c r="H77" s="385"/>
      <c r="I77" s="385"/>
    </row>
    <row r="78" spans="1:9" ht="14.25">
      <c r="A78" s="384"/>
      <c r="B78" s="385"/>
      <c r="C78" s="385"/>
      <c r="D78" s="385"/>
      <c r="E78" s="385"/>
      <c r="F78" s="385"/>
      <c r="G78" s="385"/>
      <c r="H78" s="385"/>
      <c r="I78" s="385"/>
    </row>
    <row r="79" spans="1:9" ht="14.25">
      <c r="A79" s="384"/>
      <c r="B79" s="385"/>
      <c r="C79" s="385"/>
      <c r="D79" s="385"/>
      <c r="E79" s="385"/>
      <c r="F79" s="385"/>
      <c r="G79" s="385"/>
      <c r="H79" s="385"/>
      <c r="I79" s="385"/>
    </row>
    <row r="80" spans="1:9" ht="14.25">
      <c r="A80" s="384"/>
      <c r="B80" s="385"/>
      <c r="C80" s="385"/>
      <c r="D80" s="385"/>
      <c r="E80" s="385"/>
      <c r="F80" s="385"/>
      <c r="G80" s="385"/>
      <c r="H80" s="385"/>
      <c r="I80" s="385"/>
    </row>
    <row r="81" spans="1:9" ht="14.25">
      <c r="A81" s="384"/>
      <c r="B81" s="385"/>
      <c r="C81" s="385"/>
      <c r="D81" s="385"/>
      <c r="E81" s="385"/>
      <c r="F81" s="385"/>
      <c r="G81" s="385"/>
      <c r="H81" s="385"/>
      <c r="I81" s="385"/>
    </row>
    <row r="82" spans="1:9" ht="14.25">
      <c r="A82" s="384"/>
      <c r="B82" s="385"/>
      <c r="C82" s="385"/>
      <c r="D82" s="385"/>
      <c r="E82" s="385"/>
      <c r="F82" s="385"/>
      <c r="G82" s="385"/>
      <c r="H82" s="385"/>
      <c r="I82" s="385"/>
    </row>
    <row r="83" spans="1:9" ht="14.25">
      <c r="A83" s="384"/>
      <c r="B83" s="385"/>
      <c r="C83" s="385"/>
      <c r="D83" s="385"/>
      <c r="E83" s="385"/>
      <c r="F83" s="385"/>
      <c r="G83" s="385"/>
      <c r="H83" s="385"/>
      <c r="I83" s="385"/>
    </row>
    <row r="84" spans="1:9" ht="14.25">
      <c r="A84" s="384"/>
      <c r="B84" s="385"/>
      <c r="C84" s="385"/>
      <c r="D84" s="385"/>
      <c r="E84" s="385"/>
      <c r="F84" s="385"/>
      <c r="G84" s="385"/>
      <c r="H84" s="385"/>
      <c r="I84" s="385"/>
    </row>
    <row r="85" spans="1:9" ht="14.25">
      <c r="A85" s="384"/>
      <c r="B85" s="385"/>
      <c r="C85" s="385"/>
      <c r="D85" s="385"/>
      <c r="E85" s="385"/>
      <c r="F85" s="385"/>
      <c r="G85" s="385"/>
      <c r="H85" s="385"/>
      <c r="I85" s="385"/>
    </row>
    <row r="86" spans="1:9" ht="14.25">
      <c r="A86" s="384"/>
      <c r="B86" s="385"/>
      <c r="C86" s="385"/>
      <c r="D86" s="385"/>
      <c r="E86" s="385"/>
      <c r="F86" s="385"/>
      <c r="G86" s="385"/>
      <c r="H86" s="385"/>
      <c r="I86" s="385"/>
    </row>
    <row r="87" spans="1:9" ht="14.25">
      <c r="A87" s="384"/>
      <c r="B87" s="385"/>
      <c r="C87" s="385"/>
      <c r="D87" s="385"/>
      <c r="E87" s="385"/>
      <c r="F87" s="385"/>
      <c r="G87" s="385"/>
      <c r="H87" s="385"/>
      <c r="I87" s="385"/>
    </row>
    <row r="88" spans="1:9" ht="14.25">
      <c r="A88" s="384"/>
      <c r="B88" s="385"/>
      <c r="C88" s="385"/>
      <c r="D88" s="385"/>
      <c r="E88" s="385"/>
      <c r="F88" s="385"/>
      <c r="G88" s="385"/>
      <c r="H88" s="385"/>
      <c r="I88" s="385"/>
    </row>
    <row r="89" spans="1:9" ht="14.25">
      <c r="A89" s="384"/>
      <c r="B89" s="385"/>
      <c r="C89" s="385"/>
      <c r="D89" s="385"/>
      <c r="E89" s="385"/>
      <c r="F89" s="385"/>
      <c r="G89" s="385"/>
      <c r="H89" s="385"/>
      <c r="I89" s="385"/>
    </row>
    <row r="90" spans="1:9" ht="14.25">
      <c r="A90" s="384"/>
      <c r="B90" s="385"/>
      <c r="C90" s="385"/>
      <c r="D90" s="385"/>
      <c r="E90" s="385"/>
      <c r="F90" s="385"/>
      <c r="G90" s="385"/>
      <c r="H90" s="385"/>
      <c r="I90" s="385"/>
    </row>
    <row r="91" spans="1:9" ht="14.25">
      <c r="A91" s="384"/>
      <c r="B91" s="385"/>
      <c r="C91" s="385"/>
      <c r="D91" s="385"/>
      <c r="E91" s="385"/>
      <c r="F91" s="385"/>
      <c r="G91" s="385"/>
      <c r="H91" s="385"/>
      <c r="I91" s="385"/>
    </row>
    <row r="92" spans="1:9" ht="14.25">
      <c r="A92" s="384"/>
      <c r="B92" s="385"/>
      <c r="C92" s="385"/>
      <c r="D92" s="385"/>
      <c r="E92" s="385"/>
      <c r="F92" s="385"/>
      <c r="G92" s="385"/>
      <c r="H92" s="385"/>
      <c r="I92" s="385"/>
    </row>
    <row r="93" spans="1:9" ht="14.25">
      <c r="A93" s="384"/>
      <c r="B93" s="385"/>
      <c r="C93" s="385"/>
      <c r="D93" s="385"/>
      <c r="E93" s="385"/>
      <c r="F93" s="385"/>
      <c r="G93" s="385"/>
      <c r="H93" s="385"/>
      <c r="I93" s="385"/>
    </row>
    <row r="94" spans="1:9" ht="14.25">
      <c r="A94" s="384"/>
      <c r="B94" s="385"/>
      <c r="C94" s="385"/>
      <c r="D94" s="385"/>
      <c r="E94" s="385"/>
      <c r="F94" s="385"/>
      <c r="G94" s="385"/>
      <c r="H94" s="385"/>
      <c r="I94" s="385"/>
    </row>
    <row r="95" spans="1:9" ht="14.25">
      <c r="A95" s="384"/>
      <c r="B95" s="385"/>
      <c r="C95" s="385"/>
      <c r="D95" s="385"/>
      <c r="E95" s="385"/>
      <c r="F95" s="385"/>
      <c r="G95" s="385"/>
      <c r="H95" s="385"/>
      <c r="I95" s="385"/>
    </row>
    <row r="96" spans="1:9" ht="14.25">
      <c r="A96" s="384"/>
      <c r="B96" s="385"/>
      <c r="C96" s="385"/>
      <c r="D96" s="385"/>
      <c r="E96" s="385"/>
      <c r="F96" s="385"/>
      <c r="G96" s="385"/>
      <c r="H96" s="385"/>
      <c r="I96" s="385"/>
    </row>
    <row r="97" spans="1:9" ht="14.25">
      <c r="A97" s="384"/>
      <c r="B97" s="385"/>
      <c r="C97" s="385"/>
      <c r="D97" s="385"/>
      <c r="E97" s="385"/>
      <c r="F97" s="385"/>
      <c r="G97" s="385"/>
      <c r="H97" s="385"/>
      <c r="I97" s="385"/>
    </row>
    <row r="98" spans="1:9" ht="14.25">
      <c r="A98" s="384"/>
      <c r="B98" s="385"/>
      <c r="C98" s="385"/>
      <c r="D98" s="385"/>
      <c r="E98" s="385"/>
      <c r="F98" s="385"/>
      <c r="G98" s="385"/>
      <c r="H98" s="385"/>
      <c r="I98" s="385"/>
    </row>
  </sheetData>
  <sheetProtection/>
  <mergeCells count="19">
    <mergeCell ref="C1:F1"/>
    <mergeCell ref="A24:A25"/>
    <mergeCell ref="B3:I3"/>
    <mergeCell ref="J5:K5"/>
    <mergeCell ref="A6:A8"/>
    <mergeCell ref="B6:B8"/>
    <mergeCell ref="C6:C8"/>
    <mergeCell ref="D6:D8"/>
    <mergeCell ref="E6:E8"/>
    <mergeCell ref="F7:G7"/>
    <mergeCell ref="B52:C52"/>
    <mergeCell ref="M16:N16"/>
    <mergeCell ref="A20:A22"/>
    <mergeCell ref="A26:A29"/>
    <mergeCell ref="F6:G6"/>
    <mergeCell ref="H6:I6"/>
    <mergeCell ref="J6:K6"/>
    <mergeCell ref="H7:I7"/>
    <mergeCell ref="J7:K7"/>
  </mergeCells>
  <conditionalFormatting sqref="B41:B42">
    <cfRule type="cellIs" priority="1" dxfId="0" operator="equal" stopIfTrue="1">
      <formula>"?"</formula>
    </cfRule>
  </conditionalFormatting>
  <printOptions horizontalCentered="1"/>
  <pageMargins left="0.32" right="0" top="0.77" bottom="0.25" header="0.52" footer="0.15"/>
  <pageSetup fitToHeight="3" horizontalDpi="600" verticalDpi="600" orientation="landscape" paperSize="9" scale="88" r:id="rId3"/>
  <rowBreaks count="3" manualBreakCount="3">
    <brk id="19" max="13" man="1"/>
    <brk id="35" max="255" man="1"/>
    <brk id="53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cseb</dc:creator>
  <cp:keywords/>
  <dc:description/>
  <cp:lastModifiedBy>89326879</cp:lastModifiedBy>
  <cp:lastPrinted>2018-08-10T07:35:35Z</cp:lastPrinted>
  <dcterms:created xsi:type="dcterms:W3CDTF">2007-07-20T07:15:19Z</dcterms:created>
  <dcterms:modified xsi:type="dcterms:W3CDTF">2018-08-13T07:07:54Z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